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62\Members\Арилжааны тайлан\2018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Sheet1!$A$1:$O$78</definedName>
  </definedNames>
  <calcPr calcId="152511"/>
</workbook>
</file>

<file path=xl/calcChain.xml><?xml version="1.0" encoding="utf-8"?>
<calcChain xmlns="http://schemas.openxmlformats.org/spreadsheetml/2006/main">
  <c r="N74" i="1" l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58" i="1"/>
  <c r="N60" i="1"/>
  <c r="N59" i="1"/>
  <c r="N56" i="1"/>
  <c r="N57" i="1"/>
  <c r="N55" i="1"/>
  <c r="N54" i="1"/>
  <c r="N53" i="1"/>
  <c r="N51" i="1"/>
  <c r="N52" i="1"/>
  <c r="N47" i="1"/>
  <c r="N49" i="1"/>
  <c r="N50" i="1"/>
  <c r="N45" i="1"/>
  <c r="N48" i="1"/>
  <c r="N46" i="1"/>
  <c r="N43" i="1"/>
  <c r="N44" i="1"/>
  <c r="N40" i="1"/>
  <c r="N41" i="1"/>
  <c r="N42" i="1"/>
  <c r="N39" i="1"/>
  <c r="N38" i="1"/>
  <c r="N36" i="1"/>
  <c r="N37" i="1"/>
  <c r="N35" i="1"/>
  <c r="N34" i="1"/>
  <c r="N33" i="1"/>
  <c r="N32" i="1"/>
  <c r="N30" i="1"/>
  <c r="N31" i="1"/>
  <c r="N28" i="1"/>
  <c r="N27" i="1"/>
  <c r="N29" i="1"/>
  <c r="N25" i="1"/>
  <c r="N26" i="1"/>
  <c r="N24" i="1"/>
  <c r="N23" i="1"/>
  <c r="N21" i="1"/>
  <c r="N22" i="1"/>
  <c r="N20" i="1"/>
  <c r="N19" i="1"/>
  <c r="N18" i="1"/>
  <c r="N17" i="1"/>
  <c r="N16" i="1"/>
  <c r="H24" i="1" l="1"/>
  <c r="H20" i="1"/>
  <c r="H18" i="1"/>
  <c r="J26" i="1" l="1"/>
  <c r="J23" i="1"/>
  <c r="J25" i="1"/>
  <c r="J29" i="1"/>
  <c r="J28" i="1"/>
  <c r="J27" i="1"/>
  <c r="J31" i="1"/>
  <c r="J30" i="1"/>
  <c r="J32" i="1"/>
  <c r="J34" i="1"/>
  <c r="J35" i="1"/>
  <c r="J33" i="1"/>
  <c r="J37" i="1"/>
  <c r="J36" i="1"/>
  <c r="J39" i="1"/>
  <c r="J38" i="1"/>
  <c r="J42" i="1"/>
  <c r="J41" i="1"/>
  <c r="J40" i="1"/>
  <c r="J43" i="1"/>
  <c r="J44" i="1"/>
  <c r="J46" i="1"/>
  <c r="J48" i="1"/>
  <c r="J45" i="1"/>
  <c r="J50" i="1"/>
  <c r="J47" i="1"/>
  <c r="J49" i="1"/>
  <c r="J52" i="1"/>
  <c r="J51" i="1"/>
  <c r="J53" i="1"/>
  <c r="J54" i="1"/>
  <c r="J55" i="1"/>
  <c r="J57" i="1"/>
  <c r="J56" i="1"/>
  <c r="J60" i="1"/>
  <c r="J58" i="1"/>
  <c r="J61" i="1"/>
  <c r="J59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19" i="1"/>
  <c r="J20" i="1"/>
  <c r="J22" i="1"/>
  <c r="J21" i="1"/>
  <c r="J16" i="1"/>
  <c r="J17" i="1"/>
  <c r="J24" i="1"/>
  <c r="J18" i="1"/>
  <c r="I19" i="1"/>
  <c r="I20" i="1"/>
  <c r="I22" i="1"/>
  <c r="I21" i="1"/>
  <c r="I16" i="1"/>
  <c r="I17" i="1"/>
  <c r="I24" i="1"/>
  <c r="I26" i="1"/>
  <c r="I23" i="1"/>
  <c r="I25" i="1"/>
  <c r="I29" i="1"/>
  <c r="I28" i="1"/>
  <c r="I27" i="1"/>
  <c r="I31" i="1"/>
  <c r="I30" i="1"/>
  <c r="I32" i="1"/>
  <c r="I34" i="1"/>
  <c r="I35" i="1"/>
  <c r="I33" i="1"/>
  <c r="I37" i="1"/>
  <c r="I36" i="1"/>
  <c r="I39" i="1"/>
  <c r="I38" i="1"/>
  <c r="I42" i="1"/>
  <c r="I41" i="1"/>
  <c r="I40" i="1"/>
  <c r="I43" i="1"/>
  <c r="I44" i="1"/>
  <c r="I46" i="1"/>
  <c r="I48" i="1"/>
  <c r="I45" i="1"/>
  <c r="I50" i="1"/>
  <c r="I47" i="1"/>
  <c r="I49" i="1"/>
  <c r="I52" i="1"/>
  <c r="I51" i="1"/>
  <c r="I53" i="1"/>
  <c r="I54" i="1"/>
  <c r="I55" i="1"/>
  <c r="I57" i="1"/>
  <c r="I56" i="1"/>
  <c r="I60" i="1"/>
  <c r="I58" i="1"/>
  <c r="I61" i="1"/>
  <c r="I59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18" i="1"/>
  <c r="H19" i="1" l="1"/>
  <c r="H21" i="1"/>
  <c r="H17" i="1"/>
  <c r="H26" i="1"/>
  <c r="H23" i="1"/>
  <c r="H25" i="1"/>
  <c r="H29" i="1"/>
  <c r="H28" i="1"/>
  <c r="H27" i="1"/>
  <c r="H31" i="1"/>
  <c r="H30" i="1"/>
  <c r="H32" i="1"/>
  <c r="H34" i="1"/>
  <c r="H35" i="1"/>
  <c r="H33" i="1"/>
  <c r="H37" i="1"/>
  <c r="H36" i="1"/>
  <c r="H39" i="1"/>
  <c r="H38" i="1"/>
  <c r="H42" i="1"/>
  <c r="H41" i="1"/>
  <c r="H40" i="1"/>
  <c r="H43" i="1"/>
  <c r="H44" i="1"/>
  <c r="H46" i="1"/>
  <c r="H48" i="1"/>
  <c r="H45" i="1"/>
  <c r="H50" i="1"/>
  <c r="H47" i="1"/>
  <c r="H49" i="1"/>
  <c r="H52" i="1"/>
  <c r="H51" i="1"/>
  <c r="H53" i="1"/>
  <c r="H54" i="1"/>
  <c r="H55" i="1"/>
  <c r="H57" i="1"/>
  <c r="H56" i="1"/>
  <c r="H60" i="1"/>
  <c r="H58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G19" i="1"/>
  <c r="G20" i="1"/>
  <c r="M20" i="1" s="1"/>
  <c r="G22" i="1"/>
  <c r="M22" i="1" s="1"/>
  <c r="G21" i="1"/>
  <c r="G16" i="1"/>
  <c r="G17" i="1"/>
  <c r="G24" i="1"/>
  <c r="M24" i="1" s="1"/>
  <c r="G26" i="1"/>
  <c r="G23" i="1"/>
  <c r="G25" i="1"/>
  <c r="G29" i="1"/>
  <c r="G28" i="1"/>
  <c r="G27" i="1"/>
  <c r="G31" i="1"/>
  <c r="G30" i="1"/>
  <c r="G32" i="1"/>
  <c r="G34" i="1"/>
  <c r="G35" i="1"/>
  <c r="G33" i="1"/>
  <c r="G37" i="1"/>
  <c r="G36" i="1"/>
  <c r="G39" i="1"/>
  <c r="G38" i="1"/>
  <c r="G42" i="1"/>
  <c r="G41" i="1"/>
  <c r="G40" i="1"/>
  <c r="G43" i="1"/>
  <c r="G44" i="1"/>
  <c r="G46" i="1"/>
  <c r="G48" i="1"/>
  <c r="G45" i="1"/>
  <c r="G50" i="1"/>
  <c r="G47" i="1"/>
  <c r="G49" i="1"/>
  <c r="G52" i="1"/>
  <c r="G51" i="1"/>
  <c r="G53" i="1"/>
  <c r="G54" i="1"/>
  <c r="G55" i="1"/>
  <c r="G57" i="1"/>
  <c r="G56" i="1"/>
  <c r="G60" i="1"/>
  <c r="G58" i="1"/>
  <c r="G61" i="1"/>
  <c r="G59" i="1"/>
  <c r="M59" i="1" s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8" i="1"/>
  <c r="M18" i="1" s="1"/>
  <c r="M53" i="1" l="1"/>
  <c r="M47" i="1"/>
  <c r="M46" i="1"/>
  <c r="M41" i="1"/>
  <c r="M36" i="1"/>
  <c r="M34" i="1"/>
  <c r="M27" i="1"/>
  <c r="M23" i="1"/>
  <c r="M19" i="1"/>
  <c r="M74" i="1"/>
  <c r="M70" i="1"/>
  <c r="M66" i="1"/>
  <c r="M62" i="1"/>
  <c r="M56" i="1"/>
  <c r="M72" i="1"/>
  <c r="M68" i="1"/>
  <c r="M64" i="1"/>
  <c r="M58" i="1"/>
  <c r="M55" i="1"/>
  <c r="M52" i="1"/>
  <c r="M45" i="1"/>
  <c r="M43" i="1"/>
  <c r="M38" i="1"/>
  <c r="M33" i="1"/>
  <c r="M30" i="1"/>
  <c r="M29" i="1"/>
  <c r="M17" i="1"/>
  <c r="M71" i="1"/>
  <c r="M67" i="1"/>
  <c r="M63" i="1"/>
  <c r="M60" i="1"/>
  <c r="M54" i="1"/>
  <c r="M49" i="1"/>
  <c r="M48" i="1"/>
  <c r="M40" i="1"/>
  <c r="M39" i="1"/>
  <c r="M35" i="1"/>
  <c r="M31" i="1"/>
  <c r="M25" i="1"/>
  <c r="M21" i="1"/>
  <c r="M73" i="1"/>
  <c r="M69" i="1"/>
  <c r="M65" i="1"/>
  <c r="M61" i="1"/>
  <c r="M57" i="1"/>
  <c r="M51" i="1"/>
  <c r="M50" i="1"/>
  <c r="M44" i="1"/>
  <c r="M42" i="1"/>
  <c r="M37" i="1"/>
  <c r="M32" i="1"/>
  <c r="M28" i="1"/>
  <c r="M26" i="1"/>
  <c r="L75" i="1"/>
  <c r="K75" i="1"/>
  <c r="E75" i="1"/>
  <c r="F75" i="1"/>
  <c r="D75" i="1"/>
  <c r="I75" i="1" l="1"/>
  <c r="N75" i="1" l="1"/>
  <c r="J75" i="1" l="1"/>
  <c r="G75" i="1"/>
  <c r="H75" i="1"/>
  <c r="M16" i="1"/>
  <c r="M75" i="1" l="1"/>
  <c r="O74" i="1"/>
  <c r="O59" i="1"/>
  <c r="O66" i="1"/>
  <c r="O65" i="1"/>
  <c r="O68" i="1"/>
  <c r="O61" i="1"/>
  <c r="O57" i="1"/>
  <c r="O53" i="1"/>
  <c r="O49" i="1"/>
  <c r="O36" i="1"/>
  <c r="O39" i="1"/>
  <c r="O33" i="1"/>
  <c r="O28" i="1"/>
  <c r="O25" i="1"/>
  <c r="O16" i="1"/>
  <c r="O19" i="1"/>
  <c r="O60" i="1"/>
  <c r="O55" i="1"/>
  <c r="O50" i="1"/>
  <c r="O46" i="1"/>
  <c r="O41" i="1"/>
  <c r="O20" i="1"/>
  <c r="O72" i="1"/>
  <c r="O62" i="1"/>
  <c r="O58" i="1"/>
  <c r="O44" i="1"/>
  <c r="O27" i="1"/>
  <c r="O32" i="1"/>
  <c r="O23" i="1"/>
  <c r="O26" i="1"/>
  <c r="O29" i="1"/>
  <c r="O43" i="1"/>
  <c r="O56" i="1"/>
  <c r="O18" i="1"/>
  <c r="O30" i="1"/>
  <c r="O47" i="1"/>
  <c r="O70" i="1"/>
  <c r="O73" i="1"/>
  <c r="O35" i="1"/>
  <c r="O45" i="1"/>
  <c r="O69" i="1"/>
  <c r="O21" i="1"/>
  <c r="O37" i="1"/>
  <c r="O51" i="1"/>
  <c r="O63" i="1"/>
  <c r="O34" i="1"/>
  <c r="O54" i="1"/>
  <c r="O64" i="1"/>
  <c r="O24" i="1"/>
  <c r="O40" i="1"/>
  <c r="O48" i="1"/>
  <c r="O71" i="1"/>
  <c r="O17" i="1"/>
  <c r="O42" i="1"/>
  <c r="O52" i="1"/>
  <c r="O31" i="1"/>
  <c r="O38" i="1"/>
  <c r="O67" i="1"/>
  <c r="O22" i="1"/>
  <c r="O75" i="1" l="1"/>
</calcChain>
</file>

<file path=xl/sharedStrings.xml><?xml version="1.0" encoding="utf-8"?>
<sst xmlns="http://schemas.openxmlformats.org/spreadsheetml/2006/main" count="235" uniqueCount="139">
  <si>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</si>
  <si>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</si>
  <si>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</si>
  <si>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</si>
  <si>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</si>
  <si>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</si>
  <si>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</si>
  <si>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</si>
  <si>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</si>
  <si>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</si>
  <si>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</si>
  <si>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</si>
  <si>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</si>
  <si>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</si>
  <si>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</si>
  <si>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</si>
  <si>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</si>
  <si>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</si>
  <si>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</si>
  <si>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</si>
  <si>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</si>
  <si>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</si>
  <si>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</si>
  <si>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</si>
  <si>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</si>
  <si>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</si>
  <si>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</si>
  <si>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</si>
  <si>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</si>
  <si>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</si>
  <si>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</si>
  <si>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</si>
  <si>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</si>
  <si>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</si>
  <si>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</si>
  <si>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</si>
  <si>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</si>
  <si>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</si>
  <si>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</si>
  <si>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</si>
  <si>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</si>
  <si>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</si>
  <si>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</si>
  <si>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</si>
  <si>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</si>
  <si>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</si>
  <si>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</si>
  <si>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</si>
  <si>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</si>
  <si>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</si>
  <si>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</si>
  <si>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</si>
  <si>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</si>
  <si>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</si>
  <si>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</si>
  <si>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</si>
  <si>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</si>
  <si>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</si>
  <si>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</si>
  <si>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</si>
  <si>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</si>
  <si>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</si>
  <si>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</si>
  <si>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</si>
  <si>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</si>
  <si>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</si>
  <si>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</si>
  <si>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</si>
  <si>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</si>
  <si>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</si>
  <si>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</si>
  <si>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</si>
  <si>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</si>
  <si>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</si>
  <si>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</si>
  <si>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</si>
  <si>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</si>
  <si>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</si>
  <si>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</si>
  <si>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</si>
  <si>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</si>
  <si>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</si>
  <si>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</si>
  <si>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</si>
  <si>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</si>
  <si>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</si>
  <si>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</si>
  <si>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</si>
  <si>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</si>
  <si>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</si>
  <si>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</si>
  <si>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</si>
  <si>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</si>
  <si>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</si>
  <si>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</si>
  <si>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</si>
  <si>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</si>
  <si>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</si>
  <si>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</si>
  <si>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</si>
  <si>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</si>
  <si>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</si>
  <si>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</si>
  <si>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</si>
  <si>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</si>
  <si>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</si>
  <si>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</si>
  <si>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</si>
  <si>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</si>
  <si>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</si>
  <si>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</si>
  <si>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</si>
  <si>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</si>
  <si>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</si>
  <si>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</si>
  <si>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</si>
  <si>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</si>
  <si>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</si>
  <si>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</si>
  <si>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</si>
  <si>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</si>
  <si>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</si>
  <si>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</si>
  <si>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</si>
  <si>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</si>
  <si>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</si>
  <si>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2018 оны арилжааны нийт дүн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</si>
  <si>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</si>
  <si>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</si>
  <si>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</si>
  <si>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</si>
  <si>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</si>
  <si>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</si>
  <si>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</si>
  <si>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</si>
  <si>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</si>
  <si>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</si>
  <si>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 xml:space="preserve">2018 оны 12 дугаар сарын 31-ний байдлаар </t>
  </si>
  <si>
    <t>12-р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</si>
</sst>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9" fontId="8" fillId="4" borderId="10" xfId="2" applyFont="1" applyFill="1" applyBorder="1" applyAlignment="1">
      <alignment horizontal="center" vertical="center"/>
    </xf>
    <xf numFmtId="165" fontId="2" fillId="4" borderId="14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36296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0103.MSE/Desktop/11r%20s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0103.MSE/Desktop/Mnth1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1070</v>
          </cell>
          <cell r="E10">
            <v>395900</v>
          </cell>
          <cell r="F10">
            <v>3500</v>
          </cell>
          <cell r="G10">
            <v>1291500</v>
          </cell>
          <cell r="H10">
            <v>1687400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56</v>
          </cell>
          <cell r="G11">
            <v>1068800</v>
          </cell>
          <cell r="H11">
            <v>1068800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7816403</v>
          </cell>
          <cell r="E12">
            <v>886173633.83000004</v>
          </cell>
          <cell r="F12">
            <v>7748568</v>
          </cell>
          <cell r="G12">
            <v>992315426.47000003</v>
          </cell>
          <cell r="H12">
            <v>1878489060.3000002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235</v>
          </cell>
          <cell r="E13">
            <v>1551000</v>
          </cell>
          <cell r="F13">
            <v>84</v>
          </cell>
          <cell r="G13">
            <v>298200</v>
          </cell>
          <cell r="H13">
            <v>1849200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72226</v>
          </cell>
          <cell r="E14">
            <v>24604940</v>
          </cell>
          <cell r="F14">
            <v>60027</v>
          </cell>
          <cell r="G14">
            <v>19925549</v>
          </cell>
          <cell r="H14">
            <v>44530489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</row>
        <row r="15">
          <cell r="B15" t="str">
            <v>BDSC</v>
          </cell>
          <cell r="C15" t="str">
            <v>БиДиСек ХК</v>
          </cell>
          <cell r="D15">
            <v>4201337</v>
          </cell>
          <cell r="E15">
            <v>841784859.46000004</v>
          </cell>
          <cell r="F15">
            <v>4819118</v>
          </cell>
          <cell r="G15">
            <v>1346887734.26</v>
          </cell>
          <cell r="H15">
            <v>2188672593.7200003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B18" t="str">
            <v>BLMB</v>
          </cell>
          <cell r="C18" t="str">
            <v>Блүмсбюри секюритиес ХХК</v>
          </cell>
          <cell r="D18">
            <v>28522</v>
          </cell>
          <cell r="E18">
            <v>15689786</v>
          </cell>
          <cell r="F18">
            <v>14150</v>
          </cell>
          <cell r="G18">
            <v>8485006</v>
          </cell>
          <cell r="H18">
            <v>24174792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B19" t="str">
            <v>BSK</v>
          </cell>
          <cell r="C19" t="str">
            <v>BLUE SKY</v>
          </cell>
          <cell r="D19">
            <v>2755</v>
          </cell>
          <cell r="E19">
            <v>1160790</v>
          </cell>
          <cell r="F19">
            <v>1328</v>
          </cell>
          <cell r="G19">
            <v>759320</v>
          </cell>
          <cell r="H19">
            <v>1920110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B20" t="str">
            <v>BULG</v>
          </cell>
          <cell r="C20" t="str">
            <v>Булган брокер ХХК</v>
          </cell>
          <cell r="D20">
            <v>9416</v>
          </cell>
          <cell r="E20">
            <v>4079368</v>
          </cell>
          <cell r="F20">
            <v>7328</v>
          </cell>
          <cell r="G20">
            <v>6599637</v>
          </cell>
          <cell r="H20">
            <v>10679005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B21" t="str">
            <v>BUMB</v>
          </cell>
          <cell r="C21" t="str">
            <v>Бумбат-Алтай ХХК</v>
          </cell>
          <cell r="D21">
            <v>2575396</v>
          </cell>
          <cell r="E21">
            <v>797513116.39999998</v>
          </cell>
          <cell r="F21">
            <v>1875468</v>
          </cell>
          <cell r="G21">
            <v>1302669093.48</v>
          </cell>
          <cell r="H21">
            <v>2100182209.8800001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13459527</v>
          </cell>
          <cell r="E22">
            <v>846269604.16999996</v>
          </cell>
          <cell r="F22">
            <v>14776937</v>
          </cell>
          <cell r="G22">
            <v>902169142.82999992</v>
          </cell>
          <cell r="H22">
            <v>1748438747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B24" t="str">
            <v>CTRL</v>
          </cell>
          <cell r="C24" t="str">
            <v>Централ секьюритийз ҮЦК</v>
          </cell>
          <cell r="D24">
            <v>62808</v>
          </cell>
          <cell r="E24">
            <v>20046831.199999999</v>
          </cell>
          <cell r="F24">
            <v>0</v>
          </cell>
          <cell r="G24">
            <v>0</v>
          </cell>
          <cell r="H24">
            <v>20046831.199999999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7</v>
          </cell>
          <cell r="E25">
            <v>49000</v>
          </cell>
          <cell r="F25">
            <v>0</v>
          </cell>
          <cell r="G25">
            <v>0</v>
          </cell>
          <cell r="H25">
            <v>49000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830</v>
          </cell>
          <cell r="E26">
            <v>1389220</v>
          </cell>
          <cell r="F26">
            <v>2123</v>
          </cell>
          <cell r="G26">
            <v>961041</v>
          </cell>
          <cell r="H26">
            <v>2350261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992</v>
          </cell>
          <cell r="E28">
            <v>2284502.0499999998</v>
          </cell>
          <cell r="F28">
            <v>6043</v>
          </cell>
          <cell r="G28">
            <v>7410811</v>
          </cell>
          <cell r="H28">
            <v>9695313.0500000007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20</v>
          </cell>
          <cell r="G29">
            <v>133800</v>
          </cell>
          <cell r="H29">
            <v>133800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209781</v>
          </cell>
          <cell r="E34">
            <v>57882038.969999999</v>
          </cell>
          <cell r="F34">
            <v>444103</v>
          </cell>
          <cell r="G34">
            <v>151821426.81</v>
          </cell>
          <cell r="H34">
            <v>209703465.78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780</v>
          </cell>
          <cell r="E35">
            <v>3421900</v>
          </cell>
          <cell r="F35">
            <v>1</v>
          </cell>
          <cell r="G35">
            <v>11600</v>
          </cell>
          <cell r="H35">
            <v>3433500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117821</v>
          </cell>
          <cell r="G36">
            <v>43969468.280000001</v>
          </cell>
          <cell r="H36">
            <v>43969468.280000001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119045525</v>
          </cell>
          <cell r="E37">
            <v>85594922732.479996</v>
          </cell>
          <cell r="F37">
            <v>118260067</v>
          </cell>
          <cell r="G37">
            <v>86203337377.160004</v>
          </cell>
          <cell r="H37">
            <v>171798260109.64001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16151</v>
          </cell>
          <cell r="E38">
            <v>6024323</v>
          </cell>
          <cell r="F38">
            <v>72200</v>
          </cell>
          <cell r="G38">
            <v>25631000</v>
          </cell>
          <cell r="H38">
            <v>31655323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 t="str">
            <v>HUN</v>
          </cell>
          <cell r="C39" t="str">
            <v>Хүннү Эмпайр ХХК</v>
          </cell>
          <cell r="D39">
            <v>94283</v>
          </cell>
          <cell r="E39">
            <v>33660428</v>
          </cell>
          <cell r="F39">
            <v>9361</v>
          </cell>
          <cell r="G39">
            <v>2426976</v>
          </cell>
          <cell r="H39">
            <v>36087404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7318</v>
          </cell>
          <cell r="E42">
            <v>46142519</v>
          </cell>
          <cell r="F42">
            <v>0</v>
          </cell>
          <cell r="G42">
            <v>0</v>
          </cell>
          <cell r="H42">
            <v>46142519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209</v>
          </cell>
          <cell r="E43">
            <v>331394</v>
          </cell>
          <cell r="F43">
            <v>11062</v>
          </cell>
          <cell r="G43">
            <v>7738257.9500000002</v>
          </cell>
          <cell r="H43">
            <v>8069651.9500000002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60</v>
          </cell>
          <cell r="E44">
            <v>1140000</v>
          </cell>
          <cell r="F44">
            <v>21</v>
          </cell>
          <cell r="G44">
            <v>157500</v>
          </cell>
          <cell r="H44">
            <v>1297500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233</v>
          </cell>
          <cell r="G45">
            <v>534735</v>
          </cell>
          <cell r="H45">
            <v>534735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1678937</v>
          </cell>
          <cell r="E46">
            <v>1158117474.5899999</v>
          </cell>
          <cell r="F46">
            <v>1048187</v>
          </cell>
          <cell r="G46">
            <v>720939341.45000005</v>
          </cell>
          <cell r="H46">
            <v>1879056816.04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32241</v>
          </cell>
          <cell r="E48">
            <v>2448906</v>
          </cell>
          <cell r="F48">
            <v>164232</v>
          </cell>
          <cell r="G48">
            <v>12848967.5</v>
          </cell>
          <cell r="H48">
            <v>15297873.5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81064</v>
          </cell>
          <cell r="E49">
            <v>27493701</v>
          </cell>
          <cell r="F49">
            <v>141626</v>
          </cell>
          <cell r="G49">
            <v>47284588.399999999</v>
          </cell>
          <cell r="H49">
            <v>74778289.400000006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461137</v>
          </cell>
          <cell r="E51">
            <v>62717018.530000001</v>
          </cell>
          <cell r="F51">
            <v>671029</v>
          </cell>
          <cell r="G51">
            <v>122869601.18000001</v>
          </cell>
          <cell r="H51">
            <v>185586619.71000001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204</v>
          </cell>
          <cell r="G52">
            <v>97104</v>
          </cell>
          <cell r="H52">
            <v>97104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3042</v>
          </cell>
          <cell r="E54">
            <v>3614990</v>
          </cell>
          <cell r="F54">
            <v>73250</v>
          </cell>
          <cell r="G54">
            <v>41998255</v>
          </cell>
          <cell r="H54">
            <v>45613245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39053</v>
          </cell>
          <cell r="E55">
            <v>7698997</v>
          </cell>
          <cell r="F55">
            <v>24</v>
          </cell>
          <cell r="G55">
            <v>228000</v>
          </cell>
          <cell r="H55">
            <v>7926997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1</v>
          </cell>
          <cell r="G57">
            <v>104000</v>
          </cell>
          <cell r="H57">
            <v>104000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826928</v>
          </cell>
          <cell r="E58">
            <v>139104749.63</v>
          </cell>
          <cell r="F58">
            <v>1855977</v>
          </cell>
          <cell r="G58">
            <v>285244295.54000002</v>
          </cell>
          <cell r="H58">
            <v>424349045.17000002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11217</v>
          </cell>
          <cell r="G59">
            <v>4893192</v>
          </cell>
          <cell r="H59">
            <v>4893192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28549</v>
          </cell>
          <cell r="E60">
            <v>72395152</v>
          </cell>
          <cell r="F60">
            <v>28595</v>
          </cell>
          <cell r="G60">
            <v>71200028.209999993</v>
          </cell>
          <cell r="H60">
            <v>143595180.20999998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3406604</v>
          </cell>
          <cell r="E61">
            <v>31946968983.639999</v>
          </cell>
          <cell r="F61">
            <v>2298929</v>
          </cell>
          <cell r="G61">
            <v>30238451784.080002</v>
          </cell>
          <cell r="H61">
            <v>62185420767.720001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36300</v>
          </cell>
          <cell r="E62">
            <v>6169100</v>
          </cell>
          <cell r="F62">
            <v>3000</v>
          </cell>
          <cell r="G62">
            <v>1032000</v>
          </cell>
          <cell r="H62">
            <v>7201100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Апекс Капитал ҮЦК</v>
          </cell>
          <cell r="D63">
            <v>363050</v>
          </cell>
          <cell r="E63">
            <v>85010325.050000012</v>
          </cell>
          <cell r="F63">
            <v>186438</v>
          </cell>
          <cell r="G63">
            <v>137448018</v>
          </cell>
          <cell r="H63">
            <v>222458343.05000001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51471</v>
          </cell>
          <cell r="E64">
            <v>18633284</v>
          </cell>
          <cell r="F64">
            <v>4751</v>
          </cell>
          <cell r="G64">
            <v>4274975</v>
          </cell>
          <cell r="H64">
            <v>22908259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2365</v>
          </cell>
          <cell r="G66">
            <v>1871145</v>
          </cell>
          <cell r="H66">
            <v>1871145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158435</v>
          </cell>
          <cell r="E67">
            <v>20700865.800000001</v>
          </cell>
          <cell r="F67">
            <v>52998</v>
          </cell>
          <cell r="G67">
            <v>20202736.199999999</v>
          </cell>
          <cell r="H67">
            <v>40903602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</row>
        <row r="68">
          <cell r="B68" t="str">
            <v>нийт</v>
          </cell>
          <cell r="C68"/>
          <cell r="D68">
            <v>154772442</v>
          </cell>
          <cell r="E68">
            <v>122737591433.8</v>
          </cell>
          <cell r="F68">
            <v>154772442</v>
          </cell>
          <cell r="G68">
            <v>122737591433.79999</v>
          </cell>
          <cell r="H68">
            <v>245475182867.60001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474279611.44</v>
          </cell>
          <cell r="H17">
            <v>1669410040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2143689651.4400001</v>
          </cell>
          <cell r="N17">
            <v>54810709498.079994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592347733.15999997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592347733.15999997</v>
          </cell>
          <cell r="N18">
            <v>37321561273.779999</v>
          </cell>
        </row>
        <row r="19">
          <cell r="B19" t="str">
            <v>NOVL</v>
          </cell>
          <cell r="C19" t="str">
            <v>"НОВЕЛ ИНВЕСТМЕНТ ҮЦК" ХХК</v>
          </cell>
          <cell r="D19" t="str">
            <v>●</v>
          </cell>
          <cell r="F19" t="str">
            <v>●</v>
          </cell>
          <cell r="G19">
            <v>364775002.56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364775002.56</v>
          </cell>
          <cell r="N19">
            <v>27925520065.100002</v>
          </cell>
        </row>
        <row r="20">
          <cell r="B20" t="str">
            <v>GLMT</v>
          </cell>
          <cell r="C20" t="str">
            <v>"ГОЛОМТ КАПИТАЛ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744630387.98000002</v>
          </cell>
          <cell r="H20">
            <v>57155400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801785787.98000002</v>
          </cell>
          <cell r="N20">
            <v>23161347528.180004</v>
          </cell>
        </row>
        <row r="21">
          <cell r="B21" t="str">
            <v>BUMB</v>
          </cell>
          <cell r="C21" t="str">
            <v>"БУМБАТ-АЛТАЙ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352285957.57999998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352285957.57999998</v>
          </cell>
          <cell r="N21">
            <v>22477848718.080002</v>
          </cell>
        </row>
        <row r="22">
          <cell r="B22" t="str">
            <v>GAUL</v>
          </cell>
          <cell r="C22" t="str">
            <v>"ГАҮЛИ ҮЦК" ХХК</v>
          </cell>
          <cell r="D22" t="str">
            <v>●</v>
          </cell>
          <cell r="E22" t="str">
            <v>●</v>
          </cell>
          <cell r="G22">
            <v>134503282.57999998</v>
          </cell>
          <cell r="H22">
            <v>34631600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169134882.57999998</v>
          </cell>
          <cell r="N22">
            <v>18740894073.5</v>
          </cell>
        </row>
        <row r="23">
          <cell r="B23" t="str">
            <v>TDB</v>
          </cell>
          <cell r="C23" t="str">
            <v>"ТИ ДИ БИ КАПИТАЛ ҮЦК" ХХК</v>
          </cell>
          <cell r="D23" t="str">
            <v>●</v>
          </cell>
          <cell r="E23" t="str">
            <v>●</v>
          </cell>
          <cell r="G23">
            <v>332823237.97000003</v>
          </cell>
          <cell r="H23">
            <v>0</v>
          </cell>
          <cell r="I23">
            <v>0</v>
          </cell>
          <cell r="J23">
            <v>2040000000</v>
          </cell>
          <cell r="K23">
            <v>0</v>
          </cell>
          <cell r="L23">
            <v>0</v>
          </cell>
          <cell r="M23">
            <v>2372823237.9700003</v>
          </cell>
          <cell r="N23">
            <v>9398138736.7700005</v>
          </cell>
        </row>
        <row r="24">
          <cell r="B24" t="str">
            <v>MNET</v>
          </cell>
          <cell r="C24" t="str">
            <v>"АРД СЕКЬЮРИТИЗ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651322680.6500001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651322680.6500001</v>
          </cell>
          <cell r="N24">
            <v>9160731523.0400009</v>
          </cell>
        </row>
        <row r="25">
          <cell r="B25" t="str">
            <v>STIN</v>
          </cell>
          <cell r="C25" t="str">
            <v>"СТАНДАРТ ИНВЕСТМЕНТ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369448376.35000002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369448376.35000002</v>
          </cell>
          <cell r="N25">
            <v>8701075172.710001</v>
          </cell>
        </row>
        <row r="26">
          <cell r="B26" t="str">
            <v>DELG</v>
          </cell>
          <cell r="C26" t="str">
            <v>"ДЭЛГЭРХАНГАЙ СЕКЮРИТИЗ ҮЦК" ХХК</v>
          </cell>
          <cell r="D26" t="str">
            <v>●</v>
          </cell>
          <cell r="G26">
            <v>26625636.899999999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26625636.899999999</v>
          </cell>
          <cell r="N26">
            <v>7884273837.6400003</v>
          </cell>
        </row>
        <row r="27">
          <cell r="B27" t="str">
            <v>ARD</v>
          </cell>
          <cell r="C27" t="str">
            <v>"АРД КАПИТАЛ ГРУПП ҮЦК" ХХК</v>
          </cell>
          <cell r="D27" t="str">
            <v>●</v>
          </cell>
          <cell r="E27" t="str">
            <v>●</v>
          </cell>
          <cell r="G27">
            <v>2299670044.1999998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2299670044.1999998</v>
          </cell>
          <cell r="N27">
            <v>6523853022.1400003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G28">
            <v>140697983.40000001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140697983.40000001</v>
          </cell>
          <cell r="N28">
            <v>1670175975.2</v>
          </cell>
        </row>
        <row r="29">
          <cell r="B29" t="str">
            <v>MSEC</v>
          </cell>
          <cell r="C29" t="str">
            <v>"МОНСЕК ҮЦК" ХХК</v>
          </cell>
          <cell r="D29" t="str">
            <v>●</v>
          </cell>
          <cell r="E29" t="str">
            <v>●</v>
          </cell>
          <cell r="G29">
            <v>50317467.299999997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50317467.299999997</v>
          </cell>
          <cell r="N29">
            <v>1549201916.1399999</v>
          </cell>
        </row>
        <row r="30">
          <cell r="B30" t="str">
            <v>BLMB</v>
          </cell>
          <cell r="C30" t="str">
            <v xml:space="preserve">"БЛҮМСБЮРИ СЕКЮРИТИЕС ҮЦК" ХХК </v>
          </cell>
          <cell r="D30" t="str">
            <v>●</v>
          </cell>
          <cell r="E30" t="str">
            <v>●</v>
          </cell>
          <cell r="G30">
            <v>25740353.890000001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25740353.890000001</v>
          </cell>
          <cell r="N30">
            <v>1407790235.55</v>
          </cell>
        </row>
        <row r="31">
          <cell r="B31" t="str">
            <v>SANR</v>
          </cell>
          <cell r="C31" t="str">
            <v>"САНАР ҮЦК" ХХК</v>
          </cell>
          <cell r="D31" t="str">
            <v>●</v>
          </cell>
          <cell r="G31">
            <v>169028868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169028868</v>
          </cell>
          <cell r="N31">
            <v>980695749.93000007</v>
          </cell>
        </row>
        <row r="32">
          <cell r="B32" t="str">
            <v>BATS</v>
          </cell>
          <cell r="C32" t="str">
            <v>"БАТС ҮЦК" ХХК</v>
          </cell>
          <cell r="D32" t="str">
            <v>●</v>
          </cell>
          <cell r="G32">
            <v>26754442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26754442</v>
          </cell>
          <cell r="N32">
            <v>970969100.00999999</v>
          </cell>
        </row>
        <row r="33">
          <cell r="B33" t="str">
            <v>GNDX</v>
          </cell>
          <cell r="C33" t="str">
            <v>"ГЕНДЕКС ҮЦК" ХХК</v>
          </cell>
          <cell r="D33" t="str">
            <v>●</v>
          </cell>
          <cell r="G33">
            <v>1161686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1161686</v>
          </cell>
          <cell r="N33">
            <v>847458702.33999991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G34">
            <v>74090120.069999993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74090120.069999993</v>
          </cell>
          <cell r="N34">
            <v>720356667.72000003</v>
          </cell>
        </row>
        <row r="35">
          <cell r="B35" t="str">
            <v>ECM</v>
          </cell>
          <cell r="C35" t="str">
            <v>"ЕВРАЗИА КАПИТАЛ ХОЛДИНГ ҮЦК" ХК</v>
          </cell>
          <cell r="D35" t="str">
            <v>●</v>
          </cell>
          <cell r="E35" t="str">
            <v>●</v>
          </cell>
          <cell r="F35" t="str">
            <v>●</v>
          </cell>
          <cell r="G35">
            <v>3165983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3165983</v>
          </cell>
          <cell r="N35">
            <v>660308110.47000003</v>
          </cell>
        </row>
        <row r="36">
          <cell r="B36" t="str">
            <v>TCHB</v>
          </cell>
          <cell r="C36" t="str">
            <v>"ТУЛГАТ ЧАНДМАНЬ БАЯН  ҮЦК" ХХК</v>
          </cell>
          <cell r="D36" t="str">
            <v>●</v>
          </cell>
          <cell r="G36">
            <v>9109035.6699999999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9109035.6699999999</v>
          </cell>
          <cell r="N36">
            <v>650289916.71999991</v>
          </cell>
        </row>
        <row r="37">
          <cell r="B37" t="str">
            <v>GDSC</v>
          </cell>
          <cell r="C37" t="str">
            <v>"ГҮҮДСЕК ҮЦК" ХХК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13191696.5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13191696.5</v>
          </cell>
          <cell r="N37">
            <v>596485955.46000004</v>
          </cell>
        </row>
        <row r="38">
          <cell r="B38" t="str">
            <v>LFTI</v>
          </cell>
          <cell r="C38" t="str">
            <v>"ЛАЙФТАЙМ ИНВЕСТМЕНТ ҮЦК" ХХК</v>
          </cell>
          <cell r="D38" t="str">
            <v>●</v>
          </cell>
          <cell r="E38" t="str">
            <v>●</v>
          </cell>
          <cell r="G38">
            <v>20527250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20527250</v>
          </cell>
          <cell r="N38">
            <v>503135095.31000006</v>
          </cell>
        </row>
        <row r="39">
          <cell r="B39" t="str">
            <v>HUN</v>
          </cell>
          <cell r="C39" t="str">
            <v>"ХҮННҮ ЭМПАЙР ҮЦК" ХХК</v>
          </cell>
          <cell r="D39" t="str">
            <v>●</v>
          </cell>
          <cell r="G39">
            <v>7992890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7992890</v>
          </cell>
          <cell r="N39">
            <v>502667560.15999997</v>
          </cell>
        </row>
        <row r="40">
          <cell r="B40" t="str">
            <v>TABO</v>
          </cell>
          <cell r="C40" t="str">
            <v>"ТАВАН БОГД ҮЦК" ХХК</v>
          </cell>
          <cell r="D40" t="str">
            <v>●</v>
          </cell>
          <cell r="G40">
            <v>14821942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14821942</v>
          </cell>
          <cell r="N40">
            <v>402267332.91999996</v>
          </cell>
        </row>
        <row r="41">
          <cell r="B41" t="str">
            <v>DRBR</v>
          </cell>
          <cell r="C41" t="str">
            <v>"ДАРХАН БРОКЕР ҮЦК" ХХК</v>
          </cell>
          <cell r="D41" t="str">
            <v>●</v>
          </cell>
          <cell r="G41">
            <v>1418526.3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1418526.3</v>
          </cell>
          <cell r="N41">
            <v>389932719.13999999</v>
          </cell>
        </row>
        <row r="42">
          <cell r="B42" t="str">
            <v>TNGR</v>
          </cell>
          <cell r="C42" t="str">
            <v>"ТЭНГЭР КАПИТАЛ  ҮЦК" ХХК</v>
          </cell>
          <cell r="D42" t="str">
            <v>●</v>
          </cell>
          <cell r="E42" t="str">
            <v>●</v>
          </cell>
          <cell r="F42" t="str">
            <v>●</v>
          </cell>
          <cell r="G42">
            <v>10785440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10785440</v>
          </cell>
          <cell r="N42">
            <v>388997290.64000005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371834263.88000005</v>
          </cell>
        </row>
        <row r="44">
          <cell r="B44" t="str">
            <v>MIBG</v>
          </cell>
          <cell r="C44" t="str">
            <v>"ЭМ АЙ БИ ЖИ ХХК ҮЦК"</v>
          </cell>
          <cell r="D44" t="str">
            <v>●</v>
          </cell>
          <cell r="E44" t="str">
            <v>●</v>
          </cell>
          <cell r="G44">
            <v>28856437.5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28856437.5</v>
          </cell>
          <cell r="N44">
            <v>320766181.44999999</v>
          </cell>
        </row>
        <row r="45">
          <cell r="B45" t="str">
            <v>MERG</v>
          </cell>
          <cell r="C45" t="str">
            <v>"МЭРГЭН САНАА ҮЦК" ХХК</v>
          </cell>
          <cell r="D45" t="str">
            <v>●</v>
          </cell>
          <cell r="G45">
            <v>2002715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2002715</v>
          </cell>
          <cell r="N45">
            <v>269838550.86000001</v>
          </cell>
        </row>
        <row r="46">
          <cell r="B46" t="str">
            <v>BULG</v>
          </cell>
          <cell r="C46" t="str">
            <v>"БУЛГАН БРОКЕР ҮЦК" ХХК</v>
          </cell>
          <cell r="D46" t="str">
            <v>●</v>
          </cell>
          <cell r="G46">
            <v>4072131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4072131</v>
          </cell>
          <cell r="N46">
            <v>220335460.91</v>
          </cell>
        </row>
        <row r="47">
          <cell r="B47" t="str">
            <v>UNDR</v>
          </cell>
          <cell r="C47" t="str">
            <v>"ӨНДӨРХААН ИНВЕСТ ҮЦК" ХХК</v>
          </cell>
          <cell r="D47" t="str">
            <v>●</v>
          </cell>
          <cell r="G47">
            <v>14556060.699999999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14556060.699999999</v>
          </cell>
          <cell r="N47">
            <v>203522653.52999997</v>
          </cell>
        </row>
        <row r="48">
          <cell r="B48" t="str">
            <v>NSEC</v>
          </cell>
          <cell r="C48" t="str">
            <v>"НЭЙШНЛ СЕКЮРИТИС ҮЦК" ХХК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46155675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46155675</v>
          </cell>
          <cell r="N48">
            <v>180868703.76999998</v>
          </cell>
        </row>
        <row r="49">
          <cell r="B49" t="str">
            <v>MONG</v>
          </cell>
          <cell r="C49" t="str">
            <v>"МОНГОЛ СЕКЮРИТИЕС ҮЦК" ХК</v>
          </cell>
          <cell r="D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176331062</v>
          </cell>
        </row>
        <row r="50">
          <cell r="B50" t="str">
            <v>ALTN</v>
          </cell>
          <cell r="C50" t="str">
            <v>"АЛТАН ХОРОМСОГ ҮЦК" ХХК</v>
          </cell>
          <cell r="D50" t="str">
            <v>●</v>
          </cell>
          <cell r="G50">
            <v>1701000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1701000</v>
          </cell>
          <cell r="N50">
            <v>151998899.26999998</v>
          </cell>
        </row>
        <row r="51">
          <cell r="B51" t="str">
            <v>MSDQ</v>
          </cell>
          <cell r="C51" t="str">
            <v>"МАСДАК ҮНЭТ ЦААСНЫ КОМПАНИ" ХХК</v>
          </cell>
          <cell r="D51" t="str">
            <v>●</v>
          </cell>
          <cell r="G51">
            <v>3179902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3179902</v>
          </cell>
          <cell r="N51">
            <v>143529134.84</v>
          </cell>
        </row>
        <row r="52">
          <cell r="B52" t="str">
            <v>BLAC</v>
          </cell>
          <cell r="C52" t="str">
            <v>"БЛЭКСТОУН ИНТЕРНЭЙШНЛ ҮЦК" ХХК</v>
          </cell>
          <cell r="D52" t="str">
            <v>●</v>
          </cell>
          <cell r="G52">
            <v>2967840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2967840</v>
          </cell>
          <cell r="N52">
            <v>133224204.21000001</v>
          </cell>
        </row>
        <row r="53">
          <cell r="B53" t="str">
            <v>APS</v>
          </cell>
          <cell r="C53" t="str">
            <v>"АЗИА ПАСИФИК СЕКЬЮРИТИС ҮЦК" ХХК</v>
          </cell>
          <cell r="D53" t="str">
            <v>●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130154243.60000001</v>
          </cell>
        </row>
        <row r="54">
          <cell r="B54" t="str">
            <v>BSK</v>
          </cell>
          <cell r="C54" t="str">
            <v>"БЛЮСКАЙ СЕКЬЮРИТИЗ ҮЦК" ХК</v>
          </cell>
          <cell r="D54" t="str">
            <v>●</v>
          </cell>
          <cell r="G54">
            <v>480181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480181</v>
          </cell>
          <cell r="N54">
            <v>86055866.23999998</v>
          </cell>
        </row>
        <row r="55">
          <cell r="B55" t="str">
            <v>MICC</v>
          </cell>
          <cell r="C55" t="str">
            <v>"ЭМ АЙ СИ СИ  ҮЦК" ХХК</v>
          </cell>
          <cell r="D55" t="str">
            <v>●</v>
          </cell>
          <cell r="E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72756724.969999999</v>
          </cell>
        </row>
        <row r="56">
          <cell r="B56" t="str">
            <v>SECP</v>
          </cell>
          <cell r="C56" t="str">
            <v>"СИКАП  ҮЦК" ХХК</v>
          </cell>
          <cell r="D56" t="str">
            <v>●</v>
          </cell>
          <cell r="E56" t="str">
            <v>●</v>
          </cell>
          <cell r="G56">
            <v>395000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395000</v>
          </cell>
          <cell r="N56">
            <v>58538360.419999994</v>
          </cell>
        </row>
        <row r="57">
          <cell r="B57" t="str">
            <v>SILS</v>
          </cell>
          <cell r="C57" t="str">
            <v>"СИЛВЭР ЛАЙТ СЕКЮРИТИЙЗ ҮЦК" ХХК</v>
          </cell>
          <cell r="D57" t="str">
            <v>●</v>
          </cell>
          <cell r="G57">
            <v>6116221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6116221</v>
          </cell>
          <cell r="N57">
            <v>55971673.149999999</v>
          </cell>
        </row>
        <row r="58">
          <cell r="B58" t="str">
            <v>GATR</v>
          </cell>
          <cell r="C58" t="str">
            <v>"ГАЦУУРТ ТРЕЙД ҮЦК" ХХК</v>
          </cell>
          <cell r="D58" t="str">
            <v>●</v>
          </cell>
          <cell r="G58">
            <v>549900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549900</v>
          </cell>
          <cell r="N58">
            <v>48181245.030000001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G59">
            <v>10960933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10960933</v>
          </cell>
          <cell r="N59">
            <v>20564695</v>
          </cell>
        </row>
        <row r="60">
          <cell r="B60" t="str">
            <v>ARGB</v>
          </cell>
          <cell r="C60" t="str">
            <v>"АРГАЙ БЭСТ ҮЦК" ХХК</v>
          </cell>
          <cell r="D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18962636.300000001</v>
          </cell>
        </row>
        <row r="61">
          <cell r="B61" t="str">
            <v>FCX</v>
          </cell>
          <cell r="C61" t="str">
            <v>"ЭФ СИ ИКС ҮЦК" ХХК</v>
          </cell>
          <cell r="D61" t="str">
            <v>●</v>
          </cell>
          <cell r="E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3788300</v>
          </cell>
        </row>
        <row r="62">
          <cell r="B62" t="str">
            <v>CTRL</v>
          </cell>
          <cell r="C62" t="str">
            <v>ЦЕНТРАЛ СЕКЬЮРИТИЙЗ ҮЦК</v>
          </cell>
          <cell r="D62" t="str">
            <v>●</v>
          </cell>
          <cell r="G62">
            <v>113500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113500</v>
          </cell>
          <cell r="N62">
            <v>113500</v>
          </cell>
        </row>
        <row r="63">
          <cell r="B63" t="str">
            <v>DCF</v>
          </cell>
          <cell r="C63" t="str">
            <v>ДИ СИ ЭФ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BKHE</v>
          </cell>
          <cell r="C64" t="str">
            <v>БАГА ХЭЭР ХХК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GNN</v>
          </cell>
          <cell r="C65" t="str">
            <v>ГОВИЙН НОЁН НУРУУ ХХК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ITR</v>
          </cell>
          <cell r="C66" t="str">
            <v>АЙ ТРЕЙД ХХК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BBSS</v>
          </cell>
          <cell r="C67" t="str">
            <v>БИ БИ ЭС ЭС ХХК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DGSN</v>
          </cell>
          <cell r="C68" t="str">
            <v>ДОГСОН ХХК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FINL</v>
          </cell>
          <cell r="C69" t="str">
            <v>ФИНАНС ЛИНК ГРУПП ХХК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CAPM</v>
          </cell>
          <cell r="C70" t="str">
            <v>"КАПИТАЛ МАРКЕТ КОРПОРАЦИ ҮЦК" ХХК</v>
          </cell>
          <cell r="D70" t="str">
            <v>●</v>
          </cell>
          <cell r="E70" t="str">
            <v>●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ACE</v>
          </cell>
          <cell r="C71" t="str">
            <v>"АСЕ ЭНД Т КАПИТАЛ ҮЦК" ХХК</v>
          </cell>
          <cell r="D71" t="str">
            <v>●</v>
          </cell>
          <cell r="E71" t="str">
            <v>●</v>
          </cell>
          <cell r="F71" t="str">
            <v>●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SGC</v>
          </cell>
          <cell r="C72" t="str">
            <v>"ЭС ЖИ КАПИТАЛ ҮЦК" ХХК</v>
          </cell>
          <cell r="D72" t="str">
            <v>●</v>
          </cell>
          <cell r="E72" t="str">
            <v>●</v>
          </cell>
          <cell r="F72" t="str">
            <v>●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FRON</v>
          </cell>
          <cell r="C73" t="str">
            <v>"ФРОНТИЕР ҮЦК" ХХК</v>
          </cell>
          <cell r="D73" t="str">
            <v>●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MWTS</v>
          </cell>
          <cell r="C74" t="str">
            <v>"ЭМ ДАБЛЬЮ ТИ ЭС ҮЦК" ХХК</v>
          </cell>
          <cell r="D74" t="str">
            <v>●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PREV</v>
          </cell>
          <cell r="C75" t="str">
            <v>ПРЕВАЛЕНТ ХХК</v>
          </cell>
          <cell r="D75" t="str">
            <v>●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B76" t="str">
            <v>ZEUS</v>
          </cell>
          <cell r="C76" t="str">
            <v>ЗЮС КАПИТАЛ ХХК</v>
          </cell>
          <cell r="D76" t="str">
            <v>●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B77" t="str">
            <v>INVC</v>
          </cell>
          <cell r="C77" t="str">
            <v>ИНВЕСКОР КАПИТАЛ ҮЦК</v>
          </cell>
          <cell r="D77" t="str">
            <v>●</v>
          </cell>
          <cell r="E77" t="str">
            <v>●</v>
          </cell>
          <cell r="F77" t="str">
            <v>●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600</v>
          </cell>
          <cell r="E10">
            <v>1140000</v>
          </cell>
          <cell r="F10">
            <v>17</v>
          </cell>
          <cell r="G10">
            <v>561000</v>
          </cell>
          <cell r="H10">
            <v>1701000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/>
          <cell r="S10"/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/>
          <cell r="S11"/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21792175</v>
          </cell>
          <cell r="E12">
            <v>1196196722.8599999</v>
          </cell>
          <cell r="F12">
            <v>21655401</v>
          </cell>
          <cell r="G12">
            <v>1103473321.3399999</v>
          </cell>
          <cell r="H12">
            <v>2299670044.1999998</v>
          </cell>
          <cell r="I12"/>
          <cell r="J12"/>
          <cell r="K12"/>
          <cell r="L12"/>
          <cell r="M12">
            <v>0</v>
          </cell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151996</v>
          </cell>
          <cell r="E14">
            <v>12410410</v>
          </cell>
          <cell r="F14">
            <v>20909</v>
          </cell>
          <cell r="G14">
            <v>14344032</v>
          </cell>
          <cell r="H14">
            <v>26754442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/>
          <cell r="S14"/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1895502</v>
          </cell>
          <cell r="E16">
            <v>155051800.71000001</v>
          </cell>
          <cell r="F16">
            <v>1946554</v>
          </cell>
          <cell r="G16">
            <v>437295932.44999999</v>
          </cell>
          <cell r="H16">
            <v>592347733.15999997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/>
          <cell r="S16"/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613</v>
          </cell>
          <cell r="E18">
            <v>2967840</v>
          </cell>
          <cell r="F18">
            <v>0</v>
          </cell>
          <cell r="G18">
            <v>0</v>
          </cell>
          <cell r="H18">
            <v>2967840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6765</v>
          </cell>
          <cell r="E19">
            <v>5677687</v>
          </cell>
          <cell r="F19">
            <v>41924</v>
          </cell>
          <cell r="G19">
            <v>20062666.890000001</v>
          </cell>
          <cell r="H19">
            <v>25740353.890000001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/>
          <cell r="S19"/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192</v>
          </cell>
          <cell r="G20">
            <v>480181</v>
          </cell>
          <cell r="H20">
            <v>480181</v>
          </cell>
          <cell r="I20"/>
          <cell r="J20"/>
          <cell r="K20"/>
          <cell r="L20"/>
          <cell r="M20">
            <v>0</v>
          </cell>
          <cell r="N20"/>
          <cell r="O20"/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1033</v>
          </cell>
          <cell r="E21">
            <v>3945805</v>
          </cell>
          <cell r="F21">
            <v>179</v>
          </cell>
          <cell r="G21">
            <v>126326</v>
          </cell>
          <cell r="H21">
            <v>4072131</v>
          </cell>
          <cell r="I21"/>
          <cell r="J21"/>
          <cell r="K21"/>
          <cell r="L21"/>
          <cell r="M21">
            <v>0</v>
          </cell>
          <cell r="N21"/>
          <cell r="O21"/>
          <cell r="P21"/>
          <cell r="Q21"/>
          <cell r="R21"/>
          <cell r="S21"/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716944</v>
          </cell>
          <cell r="E22">
            <v>246141420.88</v>
          </cell>
          <cell r="F22">
            <v>378502</v>
          </cell>
          <cell r="G22">
            <v>106144536.7</v>
          </cell>
          <cell r="H22">
            <v>352285957.57999998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/>
          <cell r="S22"/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2967819</v>
          </cell>
          <cell r="E23">
            <v>235070028</v>
          </cell>
          <cell r="F23">
            <v>3220456</v>
          </cell>
          <cell r="G23">
            <v>239209583.44</v>
          </cell>
          <cell r="H23">
            <v>474279611.44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/>
          <cell r="S23"/>
          <cell r="T23">
            <v>7858</v>
          </cell>
          <cell r="U23">
            <v>834705020</v>
          </cell>
          <cell r="V23">
            <v>7858</v>
          </cell>
          <cell r="W23">
            <v>834705020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CTRL</v>
          </cell>
          <cell r="C25" t="str">
            <v>Централ секьюритийз ҮЦК</v>
          </cell>
          <cell r="D25">
            <v>200</v>
          </cell>
          <cell r="E25">
            <v>113500</v>
          </cell>
          <cell r="F25">
            <v>0</v>
          </cell>
          <cell r="G25">
            <v>0</v>
          </cell>
          <cell r="H25">
            <v>113500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DCF</v>
          </cell>
          <cell r="C26" t="str">
            <v>Ди Си Эф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/>
          <cell r="J26"/>
          <cell r="K26"/>
          <cell r="L26"/>
          <cell r="M26">
            <v>0</v>
          </cell>
          <cell r="N26"/>
          <cell r="O26"/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B27" t="str">
            <v>DELG</v>
          </cell>
          <cell r="C27" t="str">
            <v>Дэлгэрхангай секюритиз ХХК</v>
          </cell>
          <cell r="D27">
            <v>4</v>
          </cell>
          <cell r="E27">
            <v>70000</v>
          </cell>
          <cell r="F27">
            <v>103183</v>
          </cell>
          <cell r="G27">
            <v>26555636.899999999</v>
          </cell>
          <cell r="H27">
            <v>26625636.899999999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DGSN</v>
          </cell>
          <cell r="C28" t="str">
            <v>Догсон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396</v>
          </cell>
          <cell r="E29">
            <v>278595</v>
          </cell>
          <cell r="F29">
            <v>7309</v>
          </cell>
          <cell r="G29">
            <v>1139931.3</v>
          </cell>
          <cell r="H29">
            <v>1418526.3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6649</v>
          </cell>
          <cell r="G30">
            <v>3165983</v>
          </cell>
          <cell r="H30">
            <v>3165983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FRON</v>
          </cell>
          <cell r="C33" t="str">
            <v>Фронтиер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>
            <v>0</v>
          </cell>
          <cell r="N33"/>
          <cell r="O33"/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GATR</v>
          </cell>
          <cell r="C34" t="str">
            <v>Гацуурт трейд ХХК</v>
          </cell>
          <cell r="D34">
            <v>390</v>
          </cell>
          <cell r="E34">
            <v>549900</v>
          </cell>
          <cell r="F34">
            <v>0</v>
          </cell>
          <cell r="G34">
            <v>0</v>
          </cell>
          <cell r="H34">
            <v>549900</v>
          </cell>
          <cell r="I34"/>
          <cell r="J34"/>
          <cell r="K34"/>
          <cell r="L34"/>
          <cell r="M34">
            <v>0</v>
          </cell>
          <cell r="N34"/>
          <cell r="O34"/>
          <cell r="P34"/>
          <cell r="Q34"/>
          <cell r="R34"/>
          <cell r="S34"/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GAUL</v>
          </cell>
          <cell r="C35" t="str">
            <v>Гаүли ХХК</v>
          </cell>
          <cell r="D35">
            <v>299546</v>
          </cell>
          <cell r="E35">
            <v>89922278.530000001</v>
          </cell>
          <cell r="F35">
            <v>103717</v>
          </cell>
          <cell r="G35">
            <v>44581004.049999997</v>
          </cell>
          <cell r="H35">
            <v>134503282.57999998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/>
          <cell r="S35"/>
          <cell r="T35">
            <v>171</v>
          </cell>
          <cell r="U35">
            <v>17315800</v>
          </cell>
          <cell r="V35">
            <v>171</v>
          </cell>
          <cell r="W35">
            <v>17315800</v>
          </cell>
        </row>
        <row r="36">
          <cell r="B36" t="str">
            <v>GDEV</v>
          </cell>
          <cell r="C36" t="str">
            <v>Гранддевелопмент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/>
          <cell r="J36"/>
          <cell r="K36"/>
          <cell r="L36"/>
          <cell r="M36">
            <v>0</v>
          </cell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GDSC</v>
          </cell>
          <cell r="C37" t="str">
            <v>Гүүдсек ХХК</v>
          </cell>
          <cell r="D37">
            <v>1801</v>
          </cell>
          <cell r="E37">
            <v>577586.5</v>
          </cell>
          <cell r="F37">
            <v>22172</v>
          </cell>
          <cell r="G37">
            <v>12614110</v>
          </cell>
          <cell r="H37">
            <v>13191696.5</v>
          </cell>
          <cell r="I37"/>
          <cell r="J37"/>
          <cell r="K37"/>
          <cell r="L37"/>
          <cell r="M37">
            <v>0</v>
          </cell>
          <cell r="N37"/>
          <cell r="O37"/>
          <cell r="P37"/>
          <cell r="Q37"/>
          <cell r="R37"/>
          <cell r="S37"/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GLMT</v>
          </cell>
          <cell r="C38" t="str">
            <v>Голомт Капитал ХХК</v>
          </cell>
          <cell r="D38">
            <v>1067935</v>
          </cell>
          <cell r="E38">
            <v>541281017.38</v>
          </cell>
          <cell r="F38">
            <v>370906</v>
          </cell>
          <cell r="G38">
            <v>203349370.59999999</v>
          </cell>
          <cell r="H38">
            <v>744630387.98000002</v>
          </cell>
          <cell r="I38"/>
          <cell r="J38"/>
          <cell r="K38"/>
          <cell r="L38"/>
          <cell r="M38">
            <v>0</v>
          </cell>
          <cell r="N38"/>
          <cell r="O38"/>
          <cell r="P38"/>
          <cell r="Q38"/>
          <cell r="R38"/>
          <cell r="S38"/>
          <cell r="T38">
            <v>281</v>
          </cell>
          <cell r="U38">
            <v>28577700</v>
          </cell>
          <cell r="V38">
            <v>281</v>
          </cell>
          <cell r="W38">
            <v>28577700</v>
          </cell>
        </row>
        <row r="39">
          <cell r="B39" t="str">
            <v>GNDX</v>
          </cell>
          <cell r="C39" t="str">
            <v>Гендекс ХХК</v>
          </cell>
          <cell r="D39">
            <v>1956</v>
          </cell>
          <cell r="E39">
            <v>1161686</v>
          </cell>
          <cell r="F39">
            <v>0</v>
          </cell>
          <cell r="G39">
            <v>0</v>
          </cell>
          <cell r="H39">
            <v>1161686</v>
          </cell>
          <cell r="I39"/>
          <cell r="J39"/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GNN</v>
          </cell>
          <cell r="C40" t="str">
            <v>ГОВИЙН НОЁН НУРУУ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/>
          <cell r="S40"/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HUN</v>
          </cell>
          <cell r="C41" t="str">
            <v>Хүннү Эмпайр ХХК</v>
          </cell>
          <cell r="D41">
            <v>21589</v>
          </cell>
          <cell r="E41">
            <v>4814300</v>
          </cell>
          <cell r="F41">
            <v>471</v>
          </cell>
          <cell r="G41">
            <v>3178590</v>
          </cell>
          <cell r="H41">
            <v>7992890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INVC</v>
          </cell>
          <cell r="C42" t="str">
            <v>Инвескор капитал ҮЦК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/>
          <cell r="J42"/>
          <cell r="K42"/>
          <cell r="L42"/>
          <cell r="M42">
            <v>0</v>
          </cell>
          <cell r="N42"/>
          <cell r="O42"/>
          <cell r="P42"/>
          <cell r="Q42"/>
          <cell r="R42"/>
          <cell r="S42"/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B43" t="str">
            <v>ITR</v>
          </cell>
          <cell r="C43" t="str">
            <v>Ай трейд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/>
          <cell r="S43"/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LFTI</v>
          </cell>
          <cell r="C44" t="str">
            <v>Лайфтайм инвестмент ХХК</v>
          </cell>
          <cell r="D44">
            <v>7916</v>
          </cell>
          <cell r="E44">
            <v>20527250</v>
          </cell>
          <cell r="F44">
            <v>0</v>
          </cell>
          <cell r="G44">
            <v>0</v>
          </cell>
          <cell r="H44">
            <v>20527250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/>
          <cell r="S44"/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MERG</v>
          </cell>
          <cell r="C45" t="str">
            <v>Мэргэн санаа ХХК</v>
          </cell>
          <cell r="D45">
            <v>23</v>
          </cell>
          <cell r="E45">
            <v>6940</v>
          </cell>
          <cell r="F45">
            <v>1189</v>
          </cell>
          <cell r="G45">
            <v>1995775</v>
          </cell>
          <cell r="H45">
            <v>2002715</v>
          </cell>
          <cell r="I45"/>
          <cell r="J45"/>
          <cell r="K45"/>
          <cell r="L45"/>
          <cell r="M45">
            <v>0</v>
          </cell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MIBG</v>
          </cell>
          <cell r="C46" t="str">
            <v>Эм Ай Би Жи ХХК</v>
          </cell>
          <cell r="D46">
            <v>2962</v>
          </cell>
          <cell r="E46">
            <v>6526260</v>
          </cell>
          <cell r="F46">
            <v>75875</v>
          </cell>
          <cell r="G46">
            <v>22330177.5</v>
          </cell>
          <cell r="H46">
            <v>28856437.5</v>
          </cell>
          <cell r="I46"/>
          <cell r="J46"/>
          <cell r="K46"/>
          <cell r="L46"/>
          <cell r="M46">
            <v>0</v>
          </cell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MICC</v>
          </cell>
          <cell r="C47" t="str">
            <v>Эм Ай Си Си ХХК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>
            <v>0</v>
          </cell>
          <cell r="N47"/>
          <cell r="O47"/>
          <cell r="P47"/>
          <cell r="Q47"/>
          <cell r="R47"/>
          <cell r="S47"/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MNET</v>
          </cell>
          <cell r="C48" t="str">
            <v>Ард секюритиз ХХК</v>
          </cell>
          <cell r="D48">
            <v>569708</v>
          </cell>
          <cell r="E48">
            <v>412157528.47000003</v>
          </cell>
          <cell r="F48">
            <v>349014</v>
          </cell>
          <cell r="G48">
            <v>239165152.18000001</v>
          </cell>
          <cell r="H48">
            <v>651322680.6500001</v>
          </cell>
          <cell r="I48"/>
          <cell r="J48"/>
          <cell r="K48"/>
          <cell r="L48"/>
          <cell r="M48">
            <v>0</v>
          </cell>
          <cell r="N48"/>
          <cell r="O48"/>
          <cell r="P48"/>
          <cell r="Q48"/>
          <cell r="R48"/>
          <cell r="S48"/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MONG</v>
          </cell>
          <cell r="C49" t="str">
            <v>Монгол секюритиес 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/>
          <cell r="J49"/>
          <cell r="K49"/>
          <cell r="L49"/>
          <cell r="M49">
            <v>0</v>
          </cell>
          <cell r="N49"/>
          <cell r="O49"/>
          <cell r="P49"/>
          <cell r="Q49"/>
          <cell r="R49"/>
          <cell r="S49"/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MSDQ</v>
          </cell>
          <cell r="C50" t="str">
            <v>Масдак ХХК</v>
          </cell>
          <cell r="D50">
            <v>2156</v>
          </cell>
          <cell r="E50">
            <v>1665520</v>
          </cell>
          <cell r="F50">
            <v>13482</v>
          </cell>
          <cell r="G50">
            <v>1514382</v>
          </cell>
          <cell r="H50">
            <v>3179902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B51" t="str">
            <v>MSEC</v>
          </cell>
          <cell r="C51" t="str">
            <v>Монсек ХХК</v>
          </cell>
          <cell r="D51">
            <v>14495</v>
          </cell>
          <cell r="E51">
            <v>15750193.800000001</v>
          </cell>
          <cell r="F51">
            <v>59414</v>
          </cell>
          <cell r="G51">
            <v>34567273.5</v>
          </cell>
          <cell r="H51">
            <v>50317467.299999997</v>
          </cell>
          <cell r="I51"/>
          <cell r="J51"/>
          <cell r="K51"/>
          <cell r="L51"/>
          <cell r="M51">
            <v>0</v>
          </cell>
          <cell r="N51"/>
          <cell r="O51"/>
          <cell r="P51"/>
          <cell r="Q51"/>
          <cell r="R51"/>
          <cell r="S51"/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MWTS</v>
          </cell>
          <cell r="C52" t="str">
            <v>Эм Даблью Ти Эс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/>
          <cell r="S52"/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 t="str">
            <v>NOVL</v>
          </cell>
          <cell r="C53" t="str">
            <v>Новел инвестмент ХХК</v>
          </cell>
          <cell r="D53">
            <v>1393781</v>
          </cell>
          <cell r="E53">
            <v>117124162.56</v>
          </cell>
          <cell r="F53">
            <v>1516923</v>
          </cell>
          <cell r="G53">
            <v>247650840</v>
          </cell>
          <cell r="H53">
            <v>364775002.56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NSEC</v>
          </cell>
          <cell r="C54" t="str">
            <v>Нэйшнл сэкюритис ХХК</v>
          </cell>
          <cell r="D54">
            <v>1943</v>
          </cell>
          <cell r="E54">
            <v>45542600</v>
          </cell>
          <cell r="F54">
            <v>1653</v>
          </cell>
          <cell r="G54">
            <v>613075</v>
          </cell>
          <cell r="H54">
            <v>46155675</v>
          </cell>
          <cell r="I54"/>
          <cell r="J54"/>
          <cell r="K54"/>
          <cell r="L54"/>
          <cell r="M54">
            <v>0</v>
          </cell>
          <cell r="N54"/>
          <cell r="O54"/>
          <cell r="P54"/>
          <cell r="Q54"/>
          <cell r="R54"/>
          <cell r="S54"/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PREV</v>
          </cell>
          <cell r="C55" t="str">
            <v>Превалент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/>
          <cell r="S55"/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SANR</v>
          </cell>
          <cell r="C56" t="str">
            <v>Санар ХХК</v>
          </cell>
          <cell r="D56">
            <v>2619</v>
          </cell>
          <cell r="E56">
            <v>855350</v>
          </cell>
          <cell r="F56">
            <v>283735</v>
          </cell>
          <cell r="G56">
            <v>168173518</v>
          </cell>
          <cell r="H56">
            <v>169028868</v>
          </cell>
          <cell r="I56"/>
          <cell r="J56"/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SECP</v>
          </cell>
          <cell r="C57" t="str">
            <v>СИКАП</v>
          </cell>
          <cell r="D57">
            <v>50</v>
          </cell>
          <cell r="E57">
            <v>395000</v>
          </cell>
          <cell r="F57">
            <v>0</v>
          </cell>
          <cell r="G57">
            <v>0</v>
          </cell>
          <cell r="H57">
            <v>395000</v>
          </cell>
          <cell r="I57"/>
          <cell r="J57"/>
          <cell r="K57"/>
          <cell r="L57"/>
          <cell r="M57">
            <v>0</v>
          </cell>
          <cell r="N57"/>
          <cell r="O57"/>
          <cell r="P57"/>
          <cell r="Q57"/>
          <cell r="R57"/>
          <cell r="S57"/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SGC</v>
          </cell>
          <cell r="C58" t="str">
            <v>Эс Жи Капитал ХХК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/>
          <cell r="J58"/>
          <cell r="K58"/>
          <cell r="L58"/>
          <cell r="M58">
            <v>0</v>
          </cell>
          <cell r="N58"/>
          <cell r="O58"/>
          <cell r="P58"/>
          <cell r="Q58"/>
          <cell r="R58"/>
          <cell r="S58"/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SILS</v>
          </cell>
          <cell r="C59" t="str">
            <v>Силвэр лайт секюритиз ҮЦК</v>
          </cell>
          <cell r="D59">
            <v>458</v>
          </cell>
          <cell r="E59">
            <v>350840</v>
          </cell>
          <cell r="F59">
            <v>6999</v>
          </cell>
          <cell r="G59">
            <v>5765381</v>
          </cell>
          <cell r="H59">
            <v>6116221</v>
          </cell>
          <cell r="I59"/>
          <cell r="J59"/>
          <cell r="K59"/>
          <cell r="L59"/>
          <cell r="M59">
            <v>0</v>
          </cell>
          <cell r="N59"/>
          <cell r="O59"/>
          <cell r="P59"/>
          <cell r="Q59"/>
          <cell r="R59"/>
          <cell r="S59"/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STIN</v>
          </cell>
          <cell r="C60" t="str">
            <v>Стандарт инвестмент ХХК</v>
          </cell>
          <cell r="D60">
            <v>628105</v>
          </cell>
          <cell r="E60">
            <v>128013074.78</v>
          </cell>
          <cell r="F60">
            <v>1198307</v>
          </cell>
          <cell r="G60">
            <v>241435301.56999999</v>
          </cell>
          <cell r="H60">
            <v>369448376.35000002</v>
          </cell>
          <cell r="I60"/>
          <cell r="J60"/>
          <cell r="K60"/>
          <cell r="L60"/>
          <cell r="M60">
            <v>0</v>
          </cell>
          <cell r="N60"/>
          <cell r="O60"/>
          <cell r="P60"/>
          <cell r="Q60"/>
          <cell r="R60"/>
          <cell r="S60"/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TABO</v>
          </cell>
          <cell r="C61" t="str">
            <v>Таван богд ХХК</v>
          </cell>
          <cell r="D61">
            <v>347</v>
          </cell>
          <cell r="E61">
            <v>592620</v>
          </cell>
          <cell r="F61">
            <v>766</v>
          </cell>
          <cell r="G61">
            <v>14229322</v>
          </cell>
          <cell r="H61">
            <v>14821942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/>
          <cell r="S61"/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B62" t="str">
            <v>TCHB</v>
          </cell>
          <cell r="C62" t="str">
            <v>Тулгат чандмань баян ХХК</v>
          </cell>
          <cell r="D62">
            <v>1761</v>
          </cell>
          <cell r="E62">
            <v>5329435.67</v>
          </cell>
          <cell r="F62">
            <v>6411</v>
          </cell>
          <cell r="G62">
            <v>3779600</v>
          </cell>
          <cell r="H62">
            <v>9109035.6699999999</v>
          </cell>
          <cell r="I62"/>
          <cell r="J62"/>
          <cell r="K62"/>
          <cell r="L62"/>
          <cell r="M62">
            <v>0</v>
          </cell>
          <cell r="N62"/>
          <cell r="O62"/>
          <cell r="P62"/>
          <cell r="Q62"/>
          <cell r="R62"/>
          <cell r="S62"/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TDB</v>
          </cell>
          <cell r="C63" t="str">
            <v>Ти Ди Би Капитал ХХК</v>
          </cell>
          <cell r="D63">
            <v>575804</v>
          </cell>
          <cell r="E63">
            <v>171635788.44</v>
          </cell>
          <cell r="F63">
            <v>732722</v>
          </cell>
          <cell r="G63">
            <v>161187449.53</v>
          </cell>
          <cell r="H63">
            <v>332823237.97000003</v>
          </cell>
          <cell r="I63">
            <v>6000000</v>
          </cell>
          <cell r="J63">
            <v>1020000000</v>
          </cell>
          <cell r="K63">
            <v>6000000</v>
          </cell>
          <cell r="L63">
            <v>1020000000</v>
          </cell>
          <cell r="M63">
            <v>2040000000</v>
          </cell>
          <cell r="N63"/>
          <cell r="O63"/>
          <cell r="P63"/>
          <cell r="Q63"/>
          <cell r="R63"/>
          <cell r="S63"/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B64" t="str">
            <v>TNGR</v>
          </cell>
          <cell r="C64" t="str">
            <v>Тэнгэр капитал ХХК</v>
          </cell>
          <cell r="D64">
            <v>23090</v>
          </cell>
          <cell r="E64">
            <v>6286823</v>
          </cell>
          <cell r="F64">
            <v>8922</v>
          </cell>
          <cell r="G64">
            <v>4498617</v>
          </cell>
          <cell r="H64">
            <v>10785440</v>
          </cell>
          <cell r="I64"/>
          <cell r="J64"/>
          <cell r="K64"/>
          <cell r="L64"/>
          <cell r="M64">
            <v>0</v>
          </cell>
          <cell r="N64"/>
          <cell r="O64"/>
          <cell r="P64"/>
          <cell r="Q64"/>
          <cell r="R64"/>
          <cell r="S64"/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TTOL</v>
          </cell>
          <cell r="C65" t="str">
            <v>Апекс капитал ҮЦК ХХК</v>
          </cell>
          <cell r="D65">
            <v>61783</v>
          </cell>
          <cell r="E65">
            <v>44309287</v>
          </cell>
          <cell r="F65">
            <v>75240</v>
          </cell>
          <cell r="G65">
            <v>96388696.400000006</v>
          </cell>
          <cell r="H65">
            <v>140697983.40000001</v>
          </cell>
          <cell r="I65"/>
          <cell r="J65"/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UNDR</v>
          </cell>
          <cell r="C66" t="str">
            <v>Өндөрхаан инвест ХХК</v>
          </cell>
          <cell r="D66">
            <v>4901</v>
          </cell>
          <cell r="E66">
            <v>822159.2</v>
          </cell>
          <cell r="F66">
            <v>8717</v>
          </cell>
          <cell r="G66">
            <v>13733901.5</v>
          </cell>
          <cell r="H66">
            <v>14556060.699999999</v>
          </cell>
          <cell r="I66"/>
          <cell r="J66"/>
          <cell r="K66"/>
          <cell r="L66"/>
          <cell r="M66">
            <v>0</v>
          </cell>
          <cell r="N66"/>
          <cell r="O66"/>
          <cell r="P66"/>
          <cell r="Q66"/>
          <cell r="R66"/>
          <cell r="S66"/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ZEUS</v>
          </cell>
          <cell r="C67" t="str">
            <v>Зюс капитал ХХК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/>
          <cell r="J67"/>
          <cell r="K67"/>
          <cell r="L67"/>
          <cell r="M67">
            <v>0</v>
          </cell>
          <cell r="N67"/>
          <cell r="O67"/>
          <cell r="P67"/>
          <cell r="Q67"/>
          <cell r="R67"/>
          <cell r="S67"/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ZGB</v>
          </cell>
          <cell r="C68" t="str">
            <v>Зэт жи би ХХК</v>
          </cell>
          <cell r="D68">
            <v>3381</v>
          </cell>
          <cell r="E68">
            <v>5297605</v>
          </cell>
          <cell r="F68">
            <v>3338</v>
          </cell>
          <cell r="G68">
            <v>5663328</v>
          </cell>
          <cell r="H68">
            <v>10960933</v>
          </cell>
          <cell r="I68"/>
          <cell r="J68"/>
          <cell r="K68"/>
          <cell r="L68"/>
          <cell r="M68">
            <v>0</v>
          </cell>
          <cell r="N68"/>
          <cell r="O68"/>
          <cell r="P68"/>
          <cell r="Q68"/>
          <cell r="R68"/>
          <cell r="S68"/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ZRGD</v>
          </cell>
          <cell r="C69" t="str">
            <v>Зэргэд ХХК</v>
          </cell>
          <cell r="D69">
            <v>68079</v>
          </cell>
          <cell r="E69">
            <v>36252550.07</v>
          </cell>
          <cell r="F69">
            <v>69378</v>
          </cell>
          <cell r="G69">
            <v>37837570</v>
          </cell>
          <cell r="H69">
            <v>74090120.069999993</v>
          </cell>
          <cell r="I69"/>
          <cell r="J69"/>
          <cell r="K69"/>
          <cell r="L69"/>
          <cell r="M69">
            <v>0</v>
          </cell>
          <cell r="N69"/>
          <cell r="O69"/>
          <cell r="P69"/>
          <cell r="Q69"/>
          <cell r="R69"/>
          <cell r="S69"/>
          <cell r="T69">
            <v>0</v>
          </cell>
          <cell r="U69">
            <v>0</v>
          </cell>
          <cell r="V69">
            <v>0</v>
          </cell>
          <cell r="W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kers"/>
    </sheetNames>
    <sheetDataSet>
      <sheetData sheetId="0">
        <row r="11">
          <cell r="B11" t="str">
            <v>GLMT</v>
          </cell>
        </row>
        <row r="13">
          <cell r="S13">
            <v>836969140</v>
          </cell>
          <cell r="U13">
            <v>836969140</v>
          </cell>
        </row>
        <row r="15">
          <cell r="S15">
            <v>49900000</v>
          </cell>
          <cell r="U15">
            <v>49900000</v>
          </cell>
        </row>
        <row r="19">
          <cell r="S19">
            <v>3060000</v>
          </cell>
          <cell r="U19">
            <v>3060000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M25" sqref="M25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42578125" style="1" bestFit="1" customWidth="1"/>
    <col min="14" max="14" width="25.42578125" style="1" customWidth="1"/>
    <col min="15" max="15" width="16.71093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4"/>
    </row>
    <row r="2" spans="1:17" x14ac:dyDescent="0.25">
      <c r="P2" s="24"/>
    </row>
    <row r="3" spans="1:17" x14ac:dyDescent="0.25">
      <c r="P3" s="24"/>
    </row>
    <row r="4" spans="1:17" x14ac:dyDescent="0.25">
      <c r="P4" s="24"/>
    </row>
    <row r="5" spans="1:17" x14ac:dyDescent="0.25">
      <c r="P5" s="24"/>
    </row>
    <row r="6" spans="1:17" ht="13.9" customHeight="1" x14ac:dyDescent="0.25">
      <c r="P6" s="24"/>
    </row>
    <row r="7" spans="1:17" x14ac:dyDescent="0.25">
      <c r="J7" s="5"/>
      <c r="K7" s="5"/>
      <c r="L7" s="5"/>
      <c r="P7" s="24"/>
    </row>
    <row r="8" spans="1:17" x14ac:dyDescent="0.25">
      <c r="H8" s="6"/>
      <c r="I8" s="6"/>
      <c r="J8" s="7"/>
      <c r="K8" s="7"/>
      <c r="L8" s="7"/>
      <c r="M8" s="7"/>
      <c r="P8" s="24"/>
    </row>
    <row r="9" spans="1:17" ht="15" customHeight="1" x14ac:dyDescent="0.25">
      <c r="B9" s="8"/>
      <c r="C9" s="9"/>
      <c r="D9" s="55" t="s">
        <v>0</v>
      </c>
      <c r="E9" s="55"/>
      <c r="F9" s="55"/>
      <c r="G9" s="55"/>
      <c r="H9" s="55"/>
      <c r="I9" s="55"/>
      <c r="J9" s="55"/>
      <c r="K9" s="55"/>
      <c r="L9" s="55"/>
      <c r="M9" s="9"/>
      <c r="N9" s="9"/>
      <c r="O9" s="9"/>
      <c r="P9" s="24"/>
    </row>
    <row r="10" spans="1:17" x14ac:dyDescent="0.25">
      <c r="P10" s="24"/>
    </row>
    <row r="11" spans="1:17" ht="15" customHeight="1" thickBot="1" x14ac:dyDescent="0.3">
      <c r="L11" s="56" t="s">
        <v>137</v>
      </c>
      <c r="M11" s="56"/>
      <c r="N11" s="56"/>
      <c r="O11" s="56"/>
      <c r="P11" s="24"/>
    </row>
    <row r="12" spans="1:17" ht="14.45" customHeight="1" x14ac:dyDescent="0.25">
      <c r="A12" s="57" t="s">
        <v>1</v>
      </c>
      <c r="B12" s="59" t="s">
        <v>2</v>
      </c>
      <c r="C12" s="59" t="s">
        <v>3</v>
      </c>
      <c r="D12" s="59" t="s">
        <v>4</v>
      </c>
      <c r="E12" s="59"/>
      <c r="F12" s="59"/>
      <c r="G12" s="61" t="s">
        <v>138</v>
      </c>
      <c r="H12" s="61"/>
      <c r="I12" s="61"/>
      <c r="J12" s="61"/>
      <c r="K12" s="61"/>
      <c r="L12" s="61"/>
      <c r="M12" s="61"/>
      <c r="N12" s="63" t="s">
        <v>126</v>
      </c>
      <c r="O12" s="64"/>
      <c r="P12" s="24"/>
    </row>
    <row r="13" spans="1:17" s="8" customFormat="1" ht="15.75" customHeight="1" x14ac:dyDescent="0.25">
      <c r="A13" s="58"/>
      <c r="B13" s="60"/>
      <c r="C13" s="60"/>
      <c r="D13" s="60"/>
      <c r="E13" s="60"/>
      <c r="F13" s="60"/>
      <c r="G13" s="62"/>
      <c r="H13" s="62"/>
      <c r="I13" s="62"/>
      <c r="J13" s="62"/>
      <c r="K13" s="62"/>
      <c r="L13" s="62"/>
      <c r="M13" s="62"/>
      <c r="N13" s="65"/>
      <c r="O13" s="66"/>
      <c r="P13" s="35"/>
      <c r="Q13" s="10"/>
    </row>
    <row r="14" spans="1:17" s="8" customFormat="1" ht="33.75" customHeight="1" x14ac:dyDescent="0.25">
      <c r="A14" s="58"/>
      <c r="B14" s="60"/>
      <c r="C14" s="60"/>
      <c r="D14" s="60"/>
      <c r="E14" s="60"/>
      <c r="F14" s="60"/>
      <c r="G14" s="45" t="s">
        <v>5</v>
      </c>
      <c r="H14" s="46"/>
      <c r="I14" s="47"/>
      <c r="J14" s="45" t="s">
        <v>128</v>
      </c>
      <c r="K14" s="46"/>
      <c r="L14" s="47"/>
      <c r="M14" s="43" t="s">
        <v>6</v>
      </c>
      <c r="N14" s="48" t="s">
        <v>7</v>
      </c>
      <c r="O14" s="50" t="s">
        <v>8</v>
      </c>
      <c r="P14" s="35"/>
      <c r="Q14" s="10"/>
    </row>
    <row r="15" spans="1:17" s="8" customFormat="1" ht="55.9" customHeight="1" x14ac:dyDescent="0.25">
      <c r="A15" s="58"/>
      <c r="B15" s="60"/>
      <c r="C15" s="60"/>
      <c r="D15" s="30" t="s">
        <v>9</v>
      </c>
      <c r="E15" s="30" t="s">
        <v>10</v>
      </c>
      <c r="F15" s="30" t="s">
        <v>11</v>
      </c>
      <c r="G15" s="28" t="s">
        <v>129</v>
      </c>
      <c r="H15" s="11" t="s">
        <v>125</v>
      </c>
      <c r="I15" s="28" t="s">
        <v>127</v>
      </c>
      <c r="J15" s="28" t="s">
        <v>129</v>
      </c>
      <c r="K15" s="28" t="s">
        <v>125</v>
      </c>
      <c r="L15" s="28" t="s">
        <v>127</v>
      </c>
      <c r="M15" s="44"/>
      <c r="N15" s="49"/>
      <c r="O15" s="51"/>
      <c r="P15" s="35"/>
      <c r="Q15" s="10"/>
    </row>
    <row r="16" spans="1:17" x14ac:dyDescent="0.25">
      <c r="A16" s="12">
        <v>1</v>
      </c>
      <c r="B16" s="13" t="s">
        <v>19</v>
      </c>
      <c r="C16" s="14" t="s">
        <v>20</v>
      </c>
      <c r="D16" s="15" t="s">
        <v>14</v>
      </c>
      <c r="E16" s="16" t="s">
        <v>14</v>
      </c>
      <c r="F16" s="16" t="s">
        <v>14</v>
      </c>
      <c r="G16" s="17">
        <f>VLOOKUP(B16,[1]Brokers!$B$9:$H$69,7,0)</f>
        <v>171798260109.64001</v>
      </c>
      <c r="H16" s="17"/>
      <c r="I16" s="40">
        <f>VLOOKUP(B16,[1]Brokers!$B$9:$R$69,17,0)</f>
        <v>0</v>
      </c>
      <c r="J16" s="17">
        <f>VLOOKUP(B16,[1]Brokers!$B$9:$M$69,12,0)</f>
        <v>0</v>
      </c>
      <c r="K16" s="17">
        <v>0</v>
      </c>
      <c r="L16" s="17">
        <v>0</v>
      </c>
      <c r="M16" s="18">
        <f t="shared" ref="M16:M47" si="0">L16+I16+J16+H16+G16</f>
        <v>171798260109.64001</v>
      </c>
      <c r="N16" s="31">
        <f>(VLOOKUP(B16,[2]Sheet1!$B$17:$N$77,13,0))+171798260109.64</f>
        <v>194959607637.82001</v>
      </c>
      <c r="O16" s="34">
        <f t="shared" ref="O16:O47" si="1">N16/$N$75</f>
        <v>0.39928478874393214</v>
      </c>
      <c r="P16" s="36"/>
    </row>
    <row r="17" spans="1:17" x14ac:dyDescent="0.25">
      <c r="A17" s="12">
        <v>2</v>
      </c>
      <c r="B17" s="13" t="s">
        <v>25</v>
      </c>
      <c r="C17" s="14" t="s">
        <v>26</v>
      </c>
      <c r="D17" s="15" t="s">
        <v>14</v>
      </c>
      <c r="E17" s="16" t="s">
        <v>14</v>
      </c>
      <c r="F17" s="16"/>
      <c r="G17" s="17">
        <f>VLOOKUP(B17,[1]Brokers!$B$9:$H$69,7,0)</f>
        <v>62185420767.720001</v>
      </c>
      <c r="H17" s="17">
        <f>VLOOKUP(B17,[3]Brokers!$B$9:$W$69,22,0)</f>
        <v>0</v>
      </c>
      <c r="I17" s="40">
        <f>VLOOKUP(B17,[1]Brokers!$B$9:$R$69,17,0)</f>
        <v>0</v>
      </c>
      <c r="J17" s="17">
        <f>VLOOKUP(B17,[1]Brokers!$B$9:$M$69,12,0)</f>
        <v>0</v>
      </c>
      <c r="K17" s="17">
        <v>0</v>
      </c>
      <c r="L17" s="17">
        <v>0</v>
      </c>
      <c r="M17" s="18">
        <f t="shared" si="0"/>
        <v>62185420767.720001</v>
      </c>
      <c r="N17" s="31">
        <f>(VLOOKUP(B17,[2]Sheet1!$B$17:$N$77,13,0))+62185420767.72</f>
        <v>71583559504.490005</v>
      </c>
      <c r="O17" s="34">
        <f t="shared" si="1"/>
        <v>0.14660588816626421</v>
      </c>
      <c r="P17" s="36"/>
    </row>
    <row r="18" spans="1:17" x14ac:dyDescent="0.25">
      <c r="A18" s="12">
        <v>3</v>
      </c>
      <c r="B18" s="13" t="s">
        <v>21</v>
      </c>
      <c r="C18" s="14" t="s">
        <v>22</v>
      </c>
      <c r="D18" s="15" t="s">
        <v>14</v>
      </c>
      <c r="E18" s="16" t="s">
        <v>14</v>
      </c>
      <c r="F18" s="16" t="s">
        <v>14</v>
      </c>
      <c r="G18" s="17">
        <f>VLOOKUP(B18,[1]Brokers!$B$9:$H$69,7,0)</f>
        <v>1748438747</v>
      </c>
      <c r="H18" s="17">
        <f>[4]Brokers!$U$13+[4]Brokers!$S$13</f>
        <v>1673938280</v>
      </c>
      <c r="I18" s="40">
        <f>VLOOKUP(B18,[1]Brokers!$B$9:$R$69,17,0)</f>
        <v>0</v>
      </c>
      <c r="J18" s="17">
        <f>VLOOKUP(B18,[1]Brokers!$B$9:$M$69,12,0)</f>
        <v>0</v>
      </c>
      <c r="K18" s="17">
        <v>0</v>
      </c>
      <c r="L18" s="17">
        <v>0</v>
      </c>
      <c r="M18" s="18">
        <f t="shared" si="0"/>
        <v>3422377027</v>
      </c>
      <c r="N18" s="31">
        <f>(VLOOKUP(B18,[2]Sheet1!$B$17:$N$77,13,0))+3422377027</f>
        <v>58233086525.079994</v>
      </c>
      <c r="O18" s="34">
        <f t="shared" si="1"/>
        <v>0.11926360507592208</v>
      </c>
      <c r="P18" s="36"/>
    </row>
    <row r="19" spans="1:17" x14ac:dyDescent="0.25">
      <c r="A19" s="12">
        <v>4</v>
      </c>
      <c r="B19" s="13" t="s">
        <v>12</v>
      </c>
      <c r="C19" s="14" t="s">
        <v>13</v>
      </c>
      <c r="D19" s="15" t="s">
        <v>14</v>
      </c>
      <c r="E19" s="16" t="s">
        <v>14</v>
      </c>
      <c r="F19" s="16" t="s">
        <v>14</v>
      </c>
      <c r="G19" s="17">
        <f>VLOOKUP(B19,[1]Brokers!$B$9:$H$69,7,0)</f>
        <v>2188672593.7200003</v>
      </c>
      <c r="H19" s="17">
        <f>VLOOKUP(B19,[3]Brokers!$B$9:$W$69,22,0)</f>
        <v>0</v>
      </c>
      <c r="I19" s="40">
        <f>VLOOKUP(B19,[1]Brokers!$B$9:$R$69,17,0)</f>
        <v>0</v>
      </c>
      <c r="J19" s="17">
        <f>VLOOKUP(B19,[1]Brokers!$B$9:$M$69,12,0)</f>
        <v>0</v>
      </c>
      <c r="K19" s="17">
        <v>0</v>
      </c>
      <c r="L19" s="17">
        <v>0</v>
      </c>
      <c r="M19" s="18">
        <f t="shared" si="0"/>
        <v>2188672593.7200003</v>
      </c>
      <c r="N19" s="31">
        <f>(VLOOKUP(B19,[2]Sheet1!$B$17:$N$77,13,0))+2188672593.72</f>
        <v>39510233867.5</v>
      </c>
      <c r="O19" s="34">
        <f t="shared" si="1"/>
        <v>8.0918481392900352E-2</v>
      </c>
      <c r="P19" s="36"/>
    </row>
    <row r="20" spans="1:17" x14ac:dyDescent="0.25">
      <c r="A20" s="12">
        <v>5</v>
      </c>
      <c r="B20" s="13" t="s">
        <v>15</v>
      </c>
      <c r="C20" s="14" t="s">
        <v>16</v>
      </c>
      <c r="D20" s="15" t="s">
        <v>14</v>
      </c>
      <c r="E20" s="16"/>
      <c r="F20" s="16" t="s">
        <v>14</v>
      </c>
      <c r="G20" s="17">
        <f>VLOOKUP(B20,[1]Brokers!$B$9:$H$69,7,0)</f>
        <v>185586619.71000001</v>
      </c>
      <c r="H20" s="17">
        <f>[4]Brokers!$S$15+[4]Brokers!$U$15</f>
        <v>99800000</v>
      </c>
      <c r="I20" s="40">
        <f>VLOOKUP(B20,[1]Brokers!$B$9:$R$69,17,0)</f>
        <v>0</v>
      </c>
      <c r="J20" s="17">
        <f>VLOOKUP(B20,[1]Brokers!$B$9:$M$69,12,0)</f>
        <v>0</v>
      </c>
      <c r="K20" s="17">
        <v>0</v>
      </c>
      <c r="L20" s="17">
        <v>0</v>
      </c>
      <c r="M20" s="18">
        <f t="shared" si="0"/>
        <v>285386619.71000004</v>
      </c>
      <c r="N20" s="31">
        <f>(VLOOKUP(B20,[2]Sheet1!$B$17:$N$77,13,0))+285386619.71</f>
        <v>28210906684.810001</v>
      </c>
      <c r="O20" s="34">
        <f t="shared" si="1"/>
        <v>5.7777023930232908E-2</v>
      </c>
      <c r="P20" s="36"/>
    </row>
    <row r="21" spans="1:17" s="29" customFormat="1" x14ac:dyDescent="0.25">
      <c r="A21" s="12">
        <v>6</v>
      </c>
      <c r="B21" s="13" t="s">
        <v>41</v>
      </c>
      <c r="C21" s="14" t="s">
        <v>42</v>
      </c>
      <c r="D21" s="15" t="s">
        <v>14</v>
      </c>
      <c r="E21" s="15" t="s">
        <v>14</v>
      </c>
      <c r="F21" s="16" t="s">
        <v>14</v>
      </c>
      <c r="G21" s="17">
        <f>VLOOKUP(B21,[1]Brokers!$B$9:$H$69,7,0)</f>
        <v>2100182209.8800001</v>
      </c>
      <c r="H21" s="17">
        <f>VLOOKUP(B21,[3]Brokers!$B$9:$W$69,22,0)</f>
        <v>0</v>
      </c>
      <c r="I21" s="40">
        <f>VLOOKUP(B21,[1]Brokers!$B$9:$R$69,17,0)</f>
        <v>0</v>
      </c>
      <c r="J21" s="17">
        <f>VLOOKUP(B21,[1]Brokers!$B$9:$M$69,12,0)</f>
        <v>0</v>
      </c>
      <c r="K21" s="17">
        <v>0</v>
      </c>
      <c r="L21" s="17">
        <v>0</v>
      </c>
      <c r="M21" s="18">
        <f t="shared" si="0"/>
        <v>2100182209.8800001</v>
      </c>
      <c r="N21" s="31">
        <f>(VLOOKUP(B21,[2]Sheet1!$B$17:$N$77,13,0))+2100182209.88</f>
        <v>24578030927.960003</v>
      </c>
      <c r="O21" s="34">
        <f t="shared" si="1"/>
        <v>5.033675439603523E-2</v>
      </c>
      <c r="P21" s="36"/>
      <c r="Q21" s="10"/>
    </row>
    <row r="22" spans="1:17" x14ac:dyDescent="0.25">
      <c r="A22" s="12">
        <v>7</v>
      </c>
      <c r="B22" s="13" t="s">
        <v>31</v>
      </c>
      <c r="C22" s="14" t="s">
        <v>32</v>
      </c>
      <c r="D22" s="15" t="s">
        <v>14</v>
      </c>
      <c r="E22" s="16" t="s">
        <v>14</v>
      </c>
      <c r="F22" s="16"/>
      <c r="G22" s="17">
        <f>VLOOKUP(B22,[1]Brokers!$B$9:$H$69,7,0)</f>
        <v>209703465.78</v>
      </c>
      <c r="H22" s="17">
        <v>1500000</v>
      </c>
      <c r="I22" s="40">
        <f>VLOOKUP(B22,[1]Brokers!$B$9:$R$69,17,0)</f>
        <v>0</v>
      </c>
      <c r="J22" s="17">
        <f>VLOOKUP(B22,[1]Brokers!$B$9:$M$69,12,0)</f>
        <v>0</v>
      </c>
      <c r="K22" s="17">
        <v>0</v>
      </c>
      <c r="L22" s="17">
        <v>0</v>
      </c>
      <c r="M22" s="18">
        <f t="shared" si="0"/>
        <v>211203465.78</v>
      </c>
      <c r="N22" s="31">
        <f>(VLOOKUP(B22,[2]Sheet1!$B$17:$N$77,13,0))+211203465.78</f>
        <v>18952097539.279999</v>
      </c>
      <c r="O22" s="34">
        <f t="shared" si="1"/>
        <v>3.8814626034145962E-2</v>
      </c>
      <c r="P22" s="36"/>
    </row>
    <row r="23" spans="1:17" x14ac:dyDescent="0.25">
      <c r="A23" s="12">
        <v>8</v>
      </c>
      <c r="B23" s="13" t="s">
        <v>29</v>
      </c>
      <c r="C23" s="14" t="s">
        <v>30</v>
      </c>
      <c r="D23" s="15" t="s">
        <v>14</v>
      </c>
      <c r="E23" s="16" t="s">
        <v>14</v>
      </c>
      <c r="F23" s="16" t="s">
        <v>14</v>
      </c>
      <c r="G23" s="17">
        <f>VLOOKUP(B23,[1]Brokers!$B$9:$H$69,7,0)</f>
        <v>1879056816.04</v>
      </c>
      <c r="H23" s="17">
        <f>VLOOKUP(B23,[3]Brokers!$B$9:$W$69,22,0)</f>
        <v>0</v>
      </c>
      <c r="I23" s="40">
        <f>VLOOKUP(B23,[1]Brokers!$B$9:$R$69,17,0)</f>
        <v>0</v>
      </c>
      <c r="J23" s="17">
        <f>VLOOKUP(B23,[1]Brokers!$B$9:$M$69,12,0)</f>
        <v>0</v>
      </c>
      <c r="K23" s="17">
        <v>0</v>
      </c>
      <c r="L23" s="17">
        <v>0</v>
      </c>
      <c r="M23" s="18">
        <f t="shared" si="0"/>
        <v>1879056816.04</v>
      </c>
      <c r="N23" s="31">
        <f>(VLOOKUP(B23,[2]Sheet1!$B$17:$N$77,13,0))+1879056816.04</f>
        <v>11039788339.080002</v>
      </c>
      <c r="O23" s="34">
        <f t="shared" si="1"/>
        <v>2.260991191024626E-2</v>
      </c>
      <c r="P23" s="36"/>
    </row>
    <row r="24" spans="1:17" x14ac:dyDescent="0.25">
      <c r="A24" s="12">
        <v>9</v>
      </c>
      <c r="B24" s="13" t="s">
        <v>27</v>
      </c>
      <c r="C24" s="14" t="s">
        <v>28</v>
      </c>
      <c r="D24" s="15" t="s">
        <v>14</v>
      </c>
      <c r="E24" s="16" t="s">
        <v>14</v>
      </c>
      <c r="F24" s="16" t="s">
        <v>14</v>
      </c>
      <c r="G24" s="17">
        <f>VLOOKUP(B24,[1]Brokers!$B$9:$H$69,7,0)</f>
        <v>424349045.17000002</v>
      </c>
      <c r="H24" s="17">
        <f>[4]Brokers!$U$19+[4]Brokers!$S$19</f>
        <v>6120000</v>
      </c>
      <c r="I24" s="40">
        <f>VLOOKUP(B24,[1]Brokers!$B$9:$R$69,17,0)</f>
        <v>0</v>
      </c>
      <c r="J24" s="17">
        <f>VLOOKUP(B24,[1]Brokers!$B$9:$M$69,12,0)</f>
        <v>0</v>
      </c>
      <c r="K24" s="17">
        <v>0</v>
      </c>
      <c r="L24" s="17">
        <v>0</v>
      </c>
      <c r="M24" s="18">
        <f t="shared" si="0"/>
        <v>430469045.17000002</v>
      </c>
      <c r="N24" s="31">
        <f>(VLOOKUP(B24,[2]Sheet1!$B$17:$N$77,13,0))+430469045.17</f>
        <v>9131544217.8800011</v>
      </c>
      <c r="O24" s="34">
        <f t="shared" si="1"/>
        <v>1.8701754420410471E-2</v>
      </c>
      <c r="P24" s="36"/>
    </row>
    <row r="25" spans="1:17" x14ac:dyDescent="0.25">
      <c r="A25" s="12">
        <v>10</v>
      </c>
      <c r="B25" s="13" t="s">
        <v>23</v>
      </c>
      <c r="C25" s="14" t="s">
        <v>24</v>
      </c>
      <c r="D25" s="15" t="s">
        <v>14</v>
      </c>
      <c r="E25" s="16" t="s">
        <v>14</v>
      </c>
      <c r="F25" s="16"/>
      <c r="G25" s="17">
        <f>VLOOKUP(B25,[1]Brokers!$B$9:$H$69,7,0)</f>
        <v>1878489060.3000002</v>
      </c>
      <c r="H25" s="17">
        <f>VLOOKUP(B25,[3]Brokers!$B$9:$W$69,22,0)</f>
        <v>0</v>
      </c>
      <c r="I25" s="40">
        <f>VLOOKUP(B25,[1]Brokers!$B$9:$R$69,17,0)</f>
        <v>0</v>
      </c>
      <c r="J25" s="17">
        <f>VLOOKUP(B25,[1]Brokers!$B$9:$M$69,12,0)</f>
        <v>0</v>
      </c>
      <c r="K25" s="17">
        <v>0</v>
      </c>
      <c r="L25" s="17">
        <v>0</v>
      </c>
      <c r="M25" s="18">
        <f t="shared" si="0"/>
        <v>1878489060.3000002</v>
      </c>
      <c r="N25" s="31">
        <f>(VLOOKUP(B25,[2]Sheet1!$B$17:$N$77,13,0))+1878489060.3</f>
        <v>8402342082.4400005</v>
      </c>
      <c r="O25" s="34">
        <f t="shared" si="1"/>
        <v>1.7208320348971032E-2</v>
      </c>
      <c r="P25" s="36"/>
      <c r="Q25" s="1"/>
    </row>
    <row r="26" spans="1:17" x14ac:dyDescent="0.25">
      <c r="A26" s="12">
        <v>11</v>
      </c>
      <c r="B26" s="13" t="s">
        <v>45</v>
      </c>
      <c r="C26" s="14" t="s">
        <v>46</v>
      </c>
      <c r="D26" s="15" t="s">
        <v>14</v>
      </c>
      <c r="E26" s="16"/>
      <c r="F26" s="16"/>
      <c r="G26" s="17">
        <f>VLOOKUP(B26,[1]Brokers!$B$9:$H$69,7,0)</f>
        <v>2350261</v>
      </c>
      <c r="H26" s="17">
        <f>VLOOKUP(B26,[3]Brokers!$B$9:$W$69,22,0)</f>
        <v>0</v>
      </c>
      <c r="I26" s="40">
        <f>VLOOKUP(B26,[1]Brokers!$B$9:$R$69,17,0)</f>
        <v>0</v>
      </c>
      <c r="J26" s="17">
        <f>VLOOKUP(B26,[1]Brokers!$B$9:$M$69,12,0)</f>
        <v>0</v>
      </c>
      <c r="K26" s="17">
        <v>0</v>
      </c>
      <c r="L26" s="17">
        <v>0</v>
      </c>
      <c r="M26" s="18">
        <f t="shared" si="0"/>
        <v>2350261</v>
      </c>
      <c r="N26" s="31">
        <f>(VLOOKUP(B26,[2]Sheet1!$B$17:$N$77,13,0))+2350261</f>
        <v>7886624098.6400003</v>
      </c>
      <c r="O26" s="34">
        <f t="shared" si="1"/>
        <v>1.6152110046190941E-2</v>
      </c>
      <c r="P26" s="36"/>
    </row>
    <row r="27" spans="1:17" x14ac:dyDescent="0.25">
      <c r="A27" s="12">
        <v>12</v>
      </c>
      <c r="B27" s="13" t="s">
        <v>79</v>
      </c>
      <c r="C27" s="14" t="s">
        <v>132</v>
      </c>
      <c r="D27" s="15" t="s">
        <v>14</v>
      </c>
      <c r="E27" s="16"/>
      <c r="F27" s="16"/>
      <c r="G27" s="17">
        <f>VLOOKUP(B27,[1]Brokers!$B$9:$H$69,7,0)</f>
        <v>222458343.05000001</v>
      </c>
      <c r="H27" s="17">
        <f>VLOOKUP(B27,[3]Brokers!$B$9:$W$69,22,0)</f>
        <v>0</v>
      </c>
      <c r="I27" s="40">
        <f>VLOOKUP(B27,[1]Brokers!$B$9:$R$69,17,0)</f>
        <v>0</v>
      </c>
      <c r="J27" s="17">
        <f>VLOOKUP(B27,[1]Brokers!$B$9:$M$69,12,0)</f>
        <v>0</v>
      </c>
      <c r="K27" s="17">
        <v>0</v>
      </c>
      <c r="L27" s="17">
        <v>0</v>
      </c>
      <c r="M27" s="18">
        <f t="shared" si="0"/>
        <v>222458343.05000001</v>
      </c>
      <c r="N27" s="31">
        <f>(VLOOKUP(B27,[2]Sheet1!$B$17:$N$77,13,0))+222458343.05</f>
        <v>1892634318.25</v>
      </c>
      <c r="O27" s="34">
        <f t="shared" si="1"/>
        <v>3.8761880119078051E-3</v>
      </c>
      <c r="P27" s="36"/>
    </row>
    <row r="28" spans="1:17" x14ac:dyDescent="0.25">
      <c r="A28" s="12">
        <v>13</v>
      </c>
      <c r="B28" s="13" t="s">
        <v>35</v>
      </c>
      <c r="C28" s="14" t="s">
        <v>36</v>
      </c>
      <c r="D28" s="15" t="s">
        <v>14</v>
      </c>
      <c r="E28" s="16" t="s">
        <v>14</v>
      </c>
      <c r="F28" s="16"/>
      <c r="G28" s="17">
        <f>VLOOKUP(B28,[1]Brokers!$B$9:$H$69,7,0)</f>
        <v>74778289.400000006</v>
      </c>
      <c r="H28" s="17">
        <f>VLOOKUP(B28,[3]Brokers!$B$9:$W$69,22,0)</f>
        <v>0</v>
      </c>
      <c r="I28" s="40">
        <f>VLOOKUP(B28,[1]Brokers!$B$9:$R$69,17,0)</f>
        <v>0</v>
      </c>
      <c r="J28" s="17">
        <f>VLOOKUP(B28,[1]Brokers!$B$9:$M$69,12,0)</f>
        <v>0</v>
      </c>
      <c r="K28" s="17">
        <v>0</v>
      </c>
      <c r="L28" s="17">
        <v>0</v>
      </c>
      <c r="M28" s="18">
        <f t="shared" si="0"/>
        <v>74778289.400000006</v>
      </c>
      <c r="N28" s="31">
        <f>(VLOOKUP(B28,[2]Sheet1!$B$17:$N$77,13,0))+74778289.4</f>
        <v>1623980205.54</v>
      </c>
      <c r="O28" s="34">
        <f t="shared" si="1"/>
        <v>3.3259740371347464E-3</v>
      </c>
      <c r="P28" s="36"/>
    </row>
    <row r="29" spans="1:17" x14ac:dyDescent="0.25">
      <c r="A29" s="12">
        <v>14</v>
      </c>
      <c r="B29" s="13" t="s">
        <v>51</v>
      </c>
      <c r="C29" s="14" t="s">
        <v>52</v>
      </c>
      <c r="D29" s="15" t="s">
        <v>14</v>
      </c>
      <c r="E29" s="16" t="s">
        <v>14</v>
      </c>
      <c r="F29" s="16"/>
      <c r="G29" s="17">
        <f>VLOOKUP(B29,[1]Brokers!$B$9:$H$69,7,0)</f>
        <v>24174792</v>
      </c>
      <c r="H29" s="17">
        <f>VLOOKUP(B29,[3]Brokers!$B$9:$W$69,22,0)</f>
        <v>0</v>
      </c>
      <c r="I29" s="40">
        <f>VLOOKUP(B29,[1]Brokers!$B$9:$R$69,17,0)</f>
        <v>0</v>
      </c>
      <c r="J29" s="17">
        <f>VLOOKUP(B29,[1]Brokers!$B$9:$M$69,12,0)</f>
        <v>0</v>
      </c>
      <c r="K29" s="17">
        <v>0</v>
      </c>
      <c r="L29" s="17">
        <v>0</v>
      </c>
      <c r="M29" s="18">
        <f t="shared" si="0"/>
        <v>24174792</v>
      </c>
      <c r="N29" s="31">
        <f>(VLOOKUP(B29,[2]Sheet1!$B$17:$N$77,13,0))+24174792</f>
        <v>1431965027.55</v>
      </c>
      <c r="O29" s="34">
        <f t="shared" si="1"/>
        <v>2.9327195537660962E-3</v>
      </c>
      <c r="P29" s="36"/>
    </row>
    <row r="30" spans="1:17" x14ac:dyDescent="0.25">
      <c r="A30" s="12">
        <v>15</v>
      </c>
      <c r="B30" s="13" t="s">
        <v>67</v>
      </c>
      <c r="C30" s="14" t="s">
        <v>68</v>
      </c>
      <c r="D30" s="15" t="s">
        <v>14</v>
      </c>
      <c r="E30" s="16"/>
      <c r="F30" s="16"/>
      <c r="G30" s="17">
        <f>VLOOKUP(B30,[1]Brokers!$B$9:$H$69,7,0)</f>
        <v>45613245</v>
      </c>
      <c r="H30" s="17">
        <f>VLOOKUP(B30,[3]Brokers!$B$9:$W$69,22,0)</f>
        <v>0</v>
      </c>
      <c r="I30" s="40">
        <f>VLOOKUP(B30,[1]Brokers!$B$9:$R$69,17,0)</f>
        <v>0</v>
      </c>
      <c r="J30" s="17">
        <f>VLOOKUP(B30,[1]Brokers!$B$9:$M$69,12,0)</f>
        <v>0</v>
      </c>
      <c r="K30" s="17">
        <v>0</v>
      </c>
      <c r="L30" s="17">
        <v>0</v>
      </c>
      <c r="M30" s="18">
        <f t="shared" si="0"/>
        <v>45613245</v>
      </c>
      <c r="N30" s="31">
        <f>(VLOOKUP(B30,[2]Sheet1!$B$17:$N$77,13,0))+45613245</f>
        <v>1026308994.9300001</v>
      </c>
      <c r="O30" s="34">
        <f t="shared" si="1"/>
        <v>2.101920367976406E-3</v>
      </c>
      <c r="P30" s="36"/>
    </row>
    <row r="31" spans="1:17" x14ac:dyDescent="0.25">
      <c r="A31" s="12">
        <v>16</v>
      </c>
      <c r="B31" s="13" t="s">
        <v>106</v>
      </c>
      <c r="C31" s="14" t="s">
        <v>107</v>
      </c>
      <c r="D31" s="15" t="s">
        <v>14</v>
      </c>
      <c r="E31" s="16"/>
      <c r="F31" s="16"/>
      <c r="G31" s="17">
        <f>VLOOKUP(B31,[1]Brokers!$B$9:$H$69,7,0)</f>
        <v>44530489</v>
      </c>
      <c r="H31" s="17">
        <f>VLOOKUP(B31,[3]Brokers!$B$9:$W$69,22,0)</f>
        <v>0</v>
      </c>
      <c r="I31" s="40">
        <f>VLOOKUP(B31,[1]Brokers!$B$9:$R$69,17,0)</f>
        <v>0</v>
      </c>
      <c r="J31" s="17">
        <f>VLOOKUP(B31,[1]Brokers!$B$9:$M$69,12,0)</f>
        <v>0</v>
      </c>
      <c r="K31" s="17">
        <v>0</v>
      </c>
      <c r="L31" s="17">
        <v>0</v>
      </c>
      <c r="M31" s="18">
        <f t="shared" si="0"/>
        <v>44530489</v>
      </c>
      <c r="N31" s="31">
        <f>(VLOOKUP(B31,[2]Sheet1!$B$17:$N$77,13,0))+44530489</f>
        <v>1015499589.01</v>
      </c>
      <c r="O31" s="34">
        <f t="shared" si="1"/>
        <v>2.0797822881376705E-3</v>
      </c>
      <c r="P31" s="36"/>
    </row>
    <row r="32" spans="1:17" x14ac:dyDescent="0.25">
      <c r="A32" s="12">
        <v>17</v>
      </c>
      <c r="B32" s="13" t="s">
        <v>82</v>
      </c>
      <c r="C32" s="14" t="s">
        <v>83</v>
      </c>
      <c r="D32" s="15" t="s">
        <v>14</v>
      </c>
      <c r="E32" s="16"/>
      <c r="F32" s="16"/>
      <c r="G32" s="17">
        <f>VLOOKUP(B32,[1]Brokers!$B$9:$H$69,7,0)</f>
        <v>31655323</v>
      </c>
      <c r="H32" s="17">
        <f>VLOOKUP(B32,[3]Brokers!$B$9:$W$69,22,0)</f>
        <v>0</v>
      </c>
      <c r="I32" s="40">
        <f>VLOOKUP(B32,[1]Brokers!$B$9:$R$69,17,0)</f>
        <v>0</v>
      </c>
      <c r="J32" s="17">
        <f>VLOOKUP(B32,[1]Brokers!$B$9:$M$69,12,0)</f>
        <v>0</v>
      </c>
      <c r="K32" s="17">
        <v>0</v>
      </c>
      <c r="L32" s="17">
        <v>0</v>
      </c>
      <c r="M32" s="18">
        <f t="shared" si="0"/>
        <v>31655323</v>
      </c>
      <c r="N32" s="31">
        <f>(VLOOKUP(B32,[2]Sheet1!$B$17:$N$77,13,0))+31655323</f>
        <v>879114025.33999991</v>
      </c>
      <c r="O32" s="34">
        <f t="shared" si="1"/>
        <v>1.8004593984503705E-3</v>
      </c>
      <c r="P32" s="36"/>
    </row>
    <row r="33" spans="1:16" x14ac:dyDescent="0.25">
      <c r="A33" s="12">
        <v>18</v>
      </c>
      <c r="B33" s="13" t="s">
        <v>59</v>
      </c>
      <c r="C33" s="14" t="s">
        <v>60</v>
      </c>
      <c r="D33" s="15" t="s">
        <v>14</v>
      </c>
      <c r="E33" s="16"/>
      <c r="F33" s="16"/>
      <c r="G33" s="17">
        <f>VLOOKUP(B33,[1]Brokers!$B$9:$H$69,7,0)</f>
        <v>143595180.20999998</v>
      </c>
      <c r="H33" s="17">
        <f>VLOOKUP(B33,[3]Brokers!$B$9:$W$69,22,0)</f>
        <v>0</v>
      </c>
      <c r="I33" s="40">
        <f>VLOOKUP(B33,[1]Brokers!$B$9:$R$69,17,0)</f>
        <v>0</v>
      </c>
      <c r="J33" s="17">
        <f>VLOOKUP(B33,[1]Brokers!$B$9:$M$69,12,0)</f>
        <v>0</v>
      </c>
      <c r="K33" s="17">
        <v>0</v>
      </c>
      <c r="L33" s="17">
        <v>0</v>
      </c>
      <c r="M33" s="18">
        <f t="shared" si="0"/>
        <v>143595180.20999998</v>
      </c>
      <c r="N33" s="31">
        <f>(VLOOKUP(B33,[2]Sheet1!$B$17:$N$77,13,0))+143595180.21</f>
        <v>793885096.92999995</v>
      </c>
      <c r="O33" s="34">
        <f t="shared" si="1"/>
        <v>1.625907268974003E-3</v>
      </c>
      <c r="P33" s="36"/>
    </row>
    <row r="34" spans="1:16" x14ac:dyDescent="0.25">
      <c r="A34" s="12">
        <v>19</v>
      </c>
      <c r="B34" s="13" t="s">
        <v>47</v>
      </c>
      <c r="C34" s="14" t="s">
        <v>48</v>
      </c>
      <c r="D34" s="15" t="s">
        <v>14</v>
      </c>
      <c r="E34" s="16"/>
      <c r="F34" s="16"/>
      <c r="G34" s="17">
        <f>VLOOKUP(B34,[1]Brokers!$B$9:$H$69,7,0)</f>
        <v>40903602</v>
      </c>
      <c r="H34" s="17">
        <f>VLOOKUP(B34,[3]Brokers!$B$9:$W$69,22,0)</f>
        <v>0</v>
      </c>
      <c r="I34" s="40">
        <f>VLOOKUP(B34,[1]Brokers!$B$9:$R$69,17,0)</f>
        <v>0</v>
      </c>
      <c r="J34" s="17">
        <f>VLOOKUP(B34,[1]Brokers!$B$9:$M$69,12,0)</f>
        <v>0</v>
      </c>
      <c r="K34" s="17">
        <v>0</v>
      </c>
      <c r="L34" s="17">
        <v>0</v>
      </c>
      <c r="M34" s="18">
        <f t="shared" si="0"/>
        <v>40903602</v>
      </c>
      <c r="N34" s="31">
        <f>(VLOOKUP(B34,[2]Sheet1!$B$17:$N$77,13,0))+40903602</f>
        <v>761260269.72000003</v>
      </c>
      <c r="O34" s="34">
        <f t="shared" si="1"/>
        <v>1.5590903657283224E-3</v>
      </c>
      <c r="P34" s="36"/>
    </row>
    <row r="35" spans="1:16" x14ac:dyDescent="0.25">
      <c r="A35" s="12">
        <v>20</v>
      </c>
      <c r="B35" s="13" t="s">
        <v>61</v>
      </c>
      <c r="C35" s="14" t="s">
        <v>62</v>
      </c>
      <c r="D35" s="15" t="s">
        <v>14</v>
      </c>
      <c r="E35" s="16" t="s">
        <v>14</v>
      </c>
      <c r="F35" s="16" t="s">
        <v>14</v>
      </c>
      <c r="G35" s="17">
        <f>VLOOKUP(B35,[1]Brokers!$B$9:$H$69,7,0)</f>
        <v>133800</v>
      </c>
      <c r="H35" s="17">
        <f>VLOOKUP(B35,[3]Brokers!$B$9:$W$69,22,0)</f>
        <v>0</v>
      </c>
      <c r="I35" s="40">
        <f>VLOOKUP(B35,[1]Brokers!$B$9:$R$69,17,0)</f>
        <v>0</v>
      </c>
      <c r="J35" s="17">
        <f>VLOOKUP(B35,[1]Brokers!$B$9:$M$69,12,0)</f>
        <v>0</v>
      </c>
      <c r="K35" s="17">
        <v>0</v>
      </c>
      <c r="L35" s="17">
        <v>0</v>
      </c>
      <c r="M35" s="18">
        <f t="shared" si="0"/>
        <v>133800</v>
      </c>
      <c r="N35" s="31">
        <f>(VLOOKUP(B35,[2]Sheet1!$B$17:$N$77,13,0))+133800</f>
        <v>660441910.47000003</v>
      </c>
      <c r="O35" s="34">
        <f t="shared" si="1"/>
        <v>1.3526104811902441E-3</v>
      </c>
      <c r="P35" s="36"/>
    </row>
    <row r="36" spans="1:16" x14ac:dyDescent="0.25">
      <c r="A36" s="12">
        <v>21</v>
      </c>
      <c r="B36" s="13" t="s">
        <v>94</v>
      </c>
      <c r="C36" s="14" t="s">
        <v>95</v>
      </c>
      <c r="D36" s="15" t="s">
        <v>14</v>
      </c>
      <c r="E36" s="16" t="s">
        <v>14</v>
      </c>
      <c r="F36" s="16" t="s">
        <v>14</v>
      </c>
      <c r="G36" s="17">
        <f>VLOOKUP(B36,[1]Brokers!$B$9:$H$69,7,0)</f>
        <v>43969468.280000001</v>
      </c>
      <c r="H36" s="17">
        <f>VLOOKUP(B36,[3]Brokers!$B$9:$W$69,22,0)</f>
        <v>0</v>
      </c>
      <c r="I36" s="40">
        <f>VLOOKUP(B36,[1]Brokers!$B$9:$R$69,17,0)</f>
        <v>0</v>
      </c>
      <c r="J36" s="17">
        <f>VLOOKUP(B36,[1]Brokers!$B$9:$M$69,12,0)</f>
        <v>0</v>
      </c>
      <c r="K36" s="17">
        <v>0</v>
      </c>
      <c r="L36" s="17">
        <v>0</v>
      </c>
      <c r="M36" s="18">
        <f t="shared" si="0"/>
        <v>43969468.280000001</v>
      </c>
      <c r="N36" s="31">
        <f>(VLOOKUP(B36,[2]Sheet1!$B$17:$N$77,13,0))+43969468.28</f>
        <v>640455423.74000001</v>
      </c>
      <c r="O36" s="34">
        <f t="shared" si="1"/>
        <v>1.3116773862357927E-3</v>
      </c>
      <c r="P36" s="36"/>
    </row>
    <row r="37" spans="1:16" x14ac:dyDescent="0.25">
      <c r="A37" s="12">
        <v>22</v>
      </c>
      <c r="B37" s="13" t="s">
        <v>43</v>
      </c>
      <c r="C37" s="14" t="s">
        <v>44</v>
      </c>
      <c r="D37" s="15" t="s">
        <v>14</v>
      </c>
      <c r="E37" s="16" t="s">
        <v>14</v>
      </c>
      <c r="F37" s="16"/>
      <c r="G37" s="17">
        <f>VLOOKUP(B37,[1]Brokers!$B$9:$H$69,7,0)</f>
        <v>46142519</v>
      </c>
      <c r="H37" s="17">
        <f>VLOOKUP(B37,[3]Brokers!$B$9:$W$69,22,0)</f>
        <v>0</v>
      </c>
      <c r="I37" s="40">
        <f>VLOOKUP(B37,[1]Brokers!$B$9:$R$69,17,0)</f>
        <v>0</v>
      </c>
      <c r="J37" s="17">
        <f>VLOOKUP(B37,[1]Brokers!$B$9:$M$69,12,0)</f>
        <v>0</v>
      </c>
      <c r="K37" s="17">
        <v>0</v>
      </c>
      <c r="L37" s="17">
        <v>0</v>
      </c>
      <c r="M37" s="18">
        <f t="shared" si="0"/>
        <v>46142519</v>
      </c>
      <c r="N37" s="31">
        <f>(VLOOKUP(B37,[2]Sheet1!$B$17:$N$77,13,0))+46142519</f>
        <v>549277614.31000006</v>
      </c>
      <c r="O37" s="34">
        <f t="shared" si="1"/>
        <v>1.1249417192045791E-3</v>
      </c>
      <c r="P37" s="36"/>
    </row>
    <row r="38" spans="1:16" x14ac:dyDescent="0.25">
      <c r="A38" s="12">
        <v>23</v>
      </c>
      <c r="B38" s="13" t="s">
        <v>118</v>
      </c>
      <c r="C38" s="14" t="s">
        <v>119</v>
      </c>
      <c r="D38" s="15" t="s">
        <v>14</v>
      </c>
      <c r="E38" s="16"/>
      <c r="F38" s="16"/>
      <c r="G38" s="17">
        <f>VLOOKUP(B38,[1]Brokers!$B$9:$H$69,7,0)</f>
        <v>36087404</v>
      </c>
      <c r="H38" s="17">
        <f>VLOOKUP(B38,[3]Brokers!$B$9:$W$69,22,0)</f>
        <v>0</v>
      </c>
      <c r="I38" s="40">
        <f>VLOOKUP(B38,[1]Brokers!$B$9:$R$69,17,0)</f>
        <v>0</v>
      </c>
      <c r="J38" s="17">
        <f>VLOOKUP(B38,[1]Brokers!$B$9:$M$69,12,0)</f>
        <v>0</v>
      </c>
      <c r="K38" s="17">
        <v>0</v>
      </c>
      <c r="L38" s="17">
        <v>0</v>
      </c>
      <c r="M38" s="18">
        <f t="shared" si="0"/>
        <v>36087404</v>
      </c>
      <c r="N38" s="31">
        <f>(VLOOKUP(B38,[2]Sheet1!$B$17:$N$77,13,0))+36087404</f>
        <v>538754964.15999997</v>
      </c>
      <c r="O38" s="34">
        <f t="shared" si="1"/>
        <v>1.1033909262322503E-3</v>
      </c>
      <c r="P38" s="36"/>
    </row>
    <row r="39" spans="1:16" x14ac:dyDescent="0.25">
      <c r="A39" s="12">
        <v>24</v>
      </c>
      <c r="B39" s="13" t="s">
        <v>55</v>
      </c>
      <c r="C39" s="14" t="s">
        <v>56</v>
      </c>
      <c r="D39" s="15" t="s">
        <v>14</v>
      </c>
      <c r="E39" s="16"/>
      <c r="F39" s="16"/>
      <c r="G39" s="17">
        <f>VLOOKUP(B39,[1]Brokers!$B$9:$H$69,7,0)</f>
        <v>4893192</v>
      </c>
      <c r="H39" s="17">
        <f>VLOOKUP(B39,[3]Brokers!$B$9:$W$69,22,0)</f>
        <v>0</v>
      </c>
      <c r="I39" s="40">
        <f>VLOOKUP(B39,[1]Brokers!$B$9:$R$69,17,0)</f>
        <v>0</v>
      </c>
      <c r="J39" s="17">
        <f>VLOOKUP(B39,[1]Brokers!$B$9:$M$69,12,0)</f>
        <v>0</v>
      </c>
      <c r="K39" s="17">
        <v>0</v>
      </c>
      <c r="L39" s="17">
        <v>0</v>
      </c>
      <c r="M39" s="18">
        <f t="shared" si="0"/>
        <v>4893192</v>
      </c>
      <c r="N39" s="31">
        <f>(VLOOKUP(B39,[2]Sheet1!$B$17:$N$77,13,0))+4893192</f>
        <v>407160524.91999996</v>
      </c>
      <c r="O39" s="34">
        <f t="shared" si="1"/>
        <v>8.3388044399209868E-4</v>
      </c>
      <c r="P39" s="36"/>
    </row>
    <row r="40" spans="1:16" x14ac:dyDescent="0.25">
      <c r="A40" s="12">
        <v>25</v>
      </c>
      <c r="B40" s="13" t="s">
        <v>69</v>
      </c>
      <c r="C40" s="14" t="s">
        <v>70</v>
      </c>
      <c r="D40" s="15" t="s">
        <v>14</v>
      </c>
      <c r="E40" s="16"/>
      <c r="F40" s="16"/>
      <c r="G40" s="17">
        <f>VLOOKUP(B40,[1]Brokers!$B$9:$H$69,7,0)</f>
        <v>9695313.0500000007</v>
      </c>
      <c r="H40" s="17">
        <f>VLOOKUP(B40,[3]Brokers!$B$9:$W$69,22,0)</f>
        <v>0</v>
      </c>
      <c r="I40" s="40">
        <f>VLOOKUP(B40,[1]Brokers!$B$9:$R$69,17,0)</f>
        <v>0</v>
      </c>
      <c r="J40" s="17">
        <f>VLOOKUP(B40,[1]Brokers!$B$9:$M$69,12,0)</f>
        <v>0</v>
      </c>
      <c r="K40" s="17">
        <v>0</v>
      </c>
      <c r="L40" s="17">
        <v>0</v>
      </c>
      <c r="M40" s="18">
        <f t="shared" si="0"/>
        <v>9695313.0500000007</v>
      </c>
      <c r="N40" s="31">
        <f>(VLOOKUP(B40,[2]Sheet1!$B$17:$N$77,13,0))+9695313.05</f>
        <v>399628032.19</v>
      </c>
      <c r="O40" s="34">
        <f t="shared" si="1"/>
        <v>8.184536086344869E-4</v>
      </c>
      <c r="P40" s="36"/>
    </row>
    <row r="41" spans="1:16" x14ac:dyDescent="0.25">
      <c r="A41" s="12">
        <v>26</v>
      </c>
      <c r="B41" s="13" t="s">
        <v>17</v>
      </c>
      <c r="C41" s="14" t="s">
        <v>18</v>
      </c>
      <c r="D41" s="15" t="s">
        <v>14</v>
      </c>
      <c r="E41" s="16" t="s">
        <v>14</v>
      </c>
      <c r="F41" s="16" t="s">
        <v>14</v>
      </c>
      <c r="G41" s="17">
        <f>VLOOKUP(B41,[1]Brokers!$B$9:$H$69,7,0)</f>
        <v>7201100</v>
      </c>
      <c r="H41" s="17">
        <f>VLOOKUP(B41,[3]Brokers!$B$9:$W$69,22,0)</f>
        <v>0</v>
      </c>
      <c r="I41" s="40">
        <f>VLOOKUP(B41,[1]Brokers!$B$9:$R$69,17,0)</f>
        <v>0</v>
      </c>
      <c r="J41" s="17">
        <f>VLOOKUP(B41,[1]Brokers!$B$9:$M$69,12,0)</f>
        <v>0</v>
      </c>
      <c r="K41" s="17">
        <v>0</v>
      </c>
      <c r="L41" s="17">
        <v>0</v>
      </c>
      <c r="M41" s="18">
        <f t="shared" si="0"/>
        <v>7201100</v>
      </c>
      <c r="N41" s="31">
        <f>(VLOOKUP(B41,[2]Sheet1!$B$17:$N$77,13,0))+7201100</f>
        <v>396198390.64000005</v>
      </c>
      <c r="O41" s="34">
        <f t="shared" si="1"/>
        <v>8.1142957058706166E-4</v>
      </c>
      <c r="P41" s="36"/>
    </row>
    <row r="42" spans="1:16" x14ac:dyDescent="0.25">
      <c r="A42" s="12">
        <v>27</v>
      </c>
      <c r="B42" s="13" t="s">
        <v>77</v>
      </c>
      <c r="C42" s="14" t="s">
        <v>78</v>
      </c>
      <c r="D42" s="15" t="s">
        <v>14</v>
      </c>
      <c r="E42" s="16"/>
      <c r="F42" s="16"/>
      <c r="G42" s="17">
        <f>VLOOKUP(B42,[1]Brokers!$B$9:$H$69,7,0)</f>
        <v>3433500</v>
      </c>
      <c r="H42" s="17">
        <f>VLOOKUP(B42,[3]Brokers!$B$9:$W$69,22,0)</f>
        <v>0</v>
      </c>
      <c r="I42" s="40">
        <f>VLOOKUP(B42,[1]Brokers!$B$9:$R$69,17,0)</f>
        <v>0</v>
      </c>
      <c r="J42" s="17">
        <f>VLOOKUP(B42,[1]Brokers!$B$9:$M$69,12,0)</f>
        <v>0</v>
      </c>
      <c r="K42" s="17">
        <v>0</v>
      </c>
      <c r="L42" s="17">
        <v>0</v>
      </c>
      <c r="M42" s="18">
        <f t="shared" si="0"/>
        <v>3433500</v>
      </c>
      <c r="N42" s="31">
        <f>(VLOOKUP(B42,[2]Sheet1!$B$17:$N$77,13,0))+3433500</f>
        <v>375267763.88000005</v>
      </c>
      <c r="O42" s="34">
        <f t="shared" si="1"/>
        <v>7.6856284047099497E-4</v>
      </c>
      <c r="P42" s="36"/>
    </row>
    <row r="43" spans="1:16" x14ac:dyDescent="0.25">
      <c r="A43" s="12">
        <v>28</v>
      </c>
      <c r="B43" s="13" t="s">
        <v>33</v>
      </c>
      <c r="C43" s="14" t="s">
        <v>34</v>
      </c>
      <c r="D43" s="15" t="s">
        <v>14</v>
      </c>
      <c r="E43" s="16" t="s">
        <v>14</v>
      </c>
      <c r="F43" s="16"/>
      <c r="G43" s="17">
        <f>VLOOKUP(B43,[1]Brokers!$B$9:$H$69,7,0)</f>
        <v>1297500</v>
      </c>
      <c r="H43" s="17">
        <f>VLOOKUP(B43,[3]Brokers!$B$9:$W$69,22,0)</f>
        <v>0</v>
      </c>
      <c r="I43" s="40">
        <f>VLOOKUP(B43,[1]Brokers!$B$9:$R$69,17,0)</f>
        <v>0</v>
      </c>
      <c r="J43" s="17">
        <f>VLOOKUP(B43,[1]Brokers!$B$9:$M$69,12,0)</f>
        <v>0</v>
      </c>
      <c r="K43" s="17">
        <v>0</v>
      </c>
      <c r="L43" s="17">
        <v>0</v>
      </c>
      <c r="M43" s="18">
        <f t="shared" si="0"/>
        <v>1297500</v>
      </c>
      <c r="N43" s="31">
        <f>(VLOOKUP(B43,[2]Sheet1!$B$17:$N$77,13,0))+1297500</f>
        <v>322063681.44999999</v>
      </c>
      <c r="O43" s="34">
        <f t="shared" si="1"/>
        <v>6.5959882956242815E-4</v>
      </c>
      <c r="P43" s="36"/>
    </row>
    <row r="44" spans="1:16" x14ac:dyDescent="0.25">
      <c r="A44" s="12">
        <v>29</v>
      </c>
      <c r="B44" s="13" t="s">
        <v>73</v>
      </c>
      <c r="C44" s="14" t="s">
        <v>74</v>
      </c>
      <c r="D44" s="15" t="s">
        <v>14</v>
      </c>
      <c r="E44" s="16"/>
      <c r="F44" s="16"/>
      <c r="G44" s="17">
        <f>VLOOKUP(B44,[1]Brokers!$B$9:$H$69,7,0)</f>
        <v>8069651.9500000002</v>
      </c>
      <c r="H44" s="17">
        <f>VLOOKUP(B44,[3]Brokers!$B$9:$W$69,22,0)</f>
        <v>0</v>
      </c>
      <c r="I44" s="40">
        <f>VLOOKUP(B44,[1]Brokers!$B$9:$R$69,17,0)</f>
        <v>0</v>
      </c>
      <c r="J44" s="17">
        <f>VLOOKUP(B44,[1]Brokers!$B$9:$M$69,12,0)</f>
        <v>0</v>
      </c>
      <c r="K44" s="17">
        <v>0</v>
      </c>
      <c r="L44" s="17">
        <v>0</v>
      </c>
      <c r="M44" s="18">
        <f t="shared" si="0"/>
        <v>8069651.9500000002</v>
      </c>
      <c r="N44" s="31">
        <f>(VLOOKUP(B44,[2]Sheet1!$B$17:$N$77,13,0))+8069651.95</f>
        <v>277908202.81</v>
      </c>
      <c r="O44" s="34">
        <f t="shared" si="1"/>
        <v>5.6916670788206294E-4</v>
      </c>
      <c r="P44" s="36"/>
    </row>
    <row r="45" spans="1:16" x14ac:dyDescent="0.25">
      <c r="A45" s="12">
        <v>30</v>
      </c>
      <c r="B45" s="13" t="s">
        <v>49</v>
      </c>
      <c r="C45" s="14" t="s">
        <v>50</v>
      </c>
      <c r="D45" s="15" t="s">
        <v>14</v>
      </c>
      <c r="E45" s="16"/>
      <c r="F45" s="16"/>
      <c r="G45" s="17">
        <f>VLOOKUP(B45,[1]Brokers!$B$9:$H$69,7,0)</f>
        <v>10679005</v>
      </c>
      <c r="H45" s="17">
        <f>VLOOKUP(B45,[3]Brokers!$B$9:$W$69,22,0)</f>
        <v>0</v>
      </c>
      <c r="I45" s="40">
        <f>VLOOKUP(B45,[1]Brokers!$B$9:$R$69,17,0)</f>
        <v>0</v>
      </c>
      <c r="J45" s="17">
        <f>VLOOKUP(B45,[1]Brokers!$B$9:$M$69,12,0)</f>
        <v>0</v>
      </c>
      <c r="K45" s="17">
        <v>0</v>
      </c>
      <c r="L45" s="17">
        <v>0</v>
      </c>
      <c r="M45" s="18">
        <f t="shared" si="0"/>
        <v>10679005</v>
      </c>
      <c r="N45" s="31">
        <f>(VLOOKUP(B45,[2]Sheet1!$B$17:$N$77,13,0))+10679005</f>
        <v>231014465.91</v>
      </c>
      <c r="O45" s="34">
        <f t="shared" si="1"/>
        <v>4.7312652777299196E-4</v>
      </c>
      <c r="P45" s="36"/>
    </row>
    <row r="46" spans="1:16" x14ac:dyDescent="0.25">
      <c r="A46" s="12">
        <v>31</v>
      </c>
      <c r="B46" s="13" t="s">
        <v>53</v>
      </c>
      <c r="C46" s="14" t="s">
        <v>54</v>
      </c>
      <c r="D46" s="15" t="s">
        <v>14</v>
      </c>
      <c r="E46" s="16"/>
      <c r="F46" s="16"/>
      <c r="G46" s="17">
        <f>VLOOKUP(B46,[1]Brokers!$B$9:$H$69,7,0)</f>
        <v>22908259</v>
      </c>
      <c r="H46" s="17">
        <f>VLOOKUP(B46,[3]Brokers!$B$9:$W$69,22,0)</f>
        <v>0</v>
      </c>
      <c r="I46" s="40">
        <f>VLOOKUP(B46,[1]Brokers!$B$9:$R$69,17,0)</f>
        <v>0</v>
      </c>
      <c r="J46" s="17">
        <f>VLOOKUP(B46,[1]Brokers!$B$9:$M$69,12,0)</f>
        <v>0</v>
      </c>
      <c r="K46" s="17">
        <v>0</v>
      </c>
      <c r="L46" s="17">
        <v>0</v>
      </c>
      <c r="M46" s="18">
        <f t="shared" si="0"/>
        <v>22908259</v>
      </c>
      <c r="N46" s="31">
        <f>(VLOOKUP(B46,[2]Sheet1!$B$17:$N$77,13,0))+22908259</f>
        <v>226430912.52999997</v>
      </c>
      <c r="O46" s="34">
        <f t="shared" si="1"/>
        <v>4.6373923383449708E-4</v>
      </c>
      <c r="P46" s="36"/>
    </row>
    <row r="47" spans="1:16" x14ac:dyDescent="0.25">
      <c r="A47" s="12">
        <v>32</v>
      </c>
      <c r="B47" s="13" t="s">
        <v>37</v>
      </c>
      <c r="C47" s="14" t="s">
        <v>38</v>
      </c>
      <c r="D47" s="15" t="s">
        <v>14</v>
      </c>
      <c r="E47" s="16" t="s">
        <v>14</v>
      </c>
      <c r="F47" s="16" t="s">
        <v>14</v>
      </c>
      <c r="G47" s="17">
        <f>VLOOKUP(B47,[1]Brokers!$B$9:$H$69,7,0)</f>
        <v>97104</v>
      </c>
      <c r="H47" s="17">
        <f>VLOOKUP(B47,[3]Brokers!$B$9:$W$69,22,0)</f>
        <v>0</v>
      </c>
      <c r="I47" s="40">
        <f>VLOOKUP(B47,[1]Brokers!$B$9:$R$69,17,0)</f>
        <v>0</v>
      </c>
      <c r="J47" s="17">
        <f>VLOOKUP(B47,[1]Brokers!$B$9:$M$69,12,0)</f>
        <v>0</v>
      </c>
      <c r="K47" s="17">
        <v>0</v>
      </c>
      <c r="L47" s="17">
        <v>0</v>
      </c>
      <c r="M47" s="18">
        <f t="shared" si="0"/>
        <v>97104</v>
      </c>
      <c r="N47" s="31">
        <f>(VLOOKUP(B47,[2]Sheet1!$B$17:$N$77,13,0))+97104</f>
        <v>180965807.76999998</v>
      </c>
      <c r="O47" s="34">
        <f t="shared" si="1"/>
        <v>3.7062494739706505E-4</v>
      </c>
      <c r="P47" s="36"/>
    </row>
    <row r="48" spans="1:16" x14ac:dyDescent="0.25">
      <c r="A48" s="12">
        <v>33</v>
      </c>
      <c r="B48" s="13" t="s">
        <v>75</v>
      </c>
      <c r="C48" s="14" t="s">
        <v>76</v>
      </c>
      <c r="D48" s="15" t="s">
        <v>14</v>
      </c>
      <c r="E48" s="16"/>
      <c r="F48" s="16"/>
      <c r="G48" s="17">
        <f>VLOOKUP(B48,[1]Brokers!$B$9:$H$69,7,0)</f>
        <v>0</v>
      </c>
      <c r="H48" s="17">
        <f>VLOOKUP(B48,[3]Brokers!$B$9:$W$69,22,0)</f>
        <v>0</v>
      </c>
      <c r="I48" s="40">
        <f>VLOOKUP(B48,[1]Brokers!$B$9:$R$69,17,0)</f>
        <v>0</v>
      </c>
      <c r="J48" s="17">
        <f>VLOOKUP(B48,[1]Brokers!$B$9:$M$69,12,0)</f>
        <v>0</v>
      </c>
      <c r="K48" s="17">
        <v>0</v>
      </c>
      <c r="L48" s="17">
        <v>0</v>
      </c>
      <c r="M48" s="18">
        <f t="shared" ref="M48:M79" si="2">L48+I48+J48+H48+G48</f>
        <v>0</v>
      </c>
      <c r="N48" s="31">
        <f>(VLOOKUP(B48,[2]Sheet1!$B$17:$N$77,13,0))+0</f>
        <v>176331062</v>
      </c>
      <c r="O48" s="34">
        <f t="shared" ref="O48:O79" si="3">N48/$N$75</f>
        <v>3.6113280947127409E-4</v>
      </c>
      <c r="P48" s="36"/>
    </row>
    <row r="49" spans="1:17" x14ac:dyDescent="0.25">
      <c r="A49" s="12">
        <v>34</v>
      </c>
      <c r="B49" s="13" t="s">
        <v>80</v>
      </c>
      <c r="C49" s="14" t="s">
        <v>81</v>
      </c>
      <c r="D49" s="15" t="s">
        <v>14</v>
      </c>
      <c r="E49" s="16"/>
      <c r="F49" s="16"/>
      <c r="G49" s="17">
        <f>VLOOKUP(B49,[1]Brokers!$B$9:$H$69,7,0)</f>
        <v>15297873.5</v>
      </c>
      <c r="H49" s="17">
        <f>VLOOKUP(B49,[3]Brokers!$B$9:$W$69,22,0)</f>
        <v>0</v>
      </c>
      <c r="I49" s="40">
        <f>VLOOKUP(B49,[1]Brokers!$B$9:$R$69,17,0)</f>
        <v>0</v>
      </c>
      <c r="J49" s="17">
        <f>VLOOKUP(B49,[1]Brokers!$B$9:$M$69,12,0)</f>
        <v>0</v>
      </c>
      <c r="K49" s="17">
        <v>0</v>
      </c>
      <c r="L49" s="17">
        <v>0</v>
      </c>
      <c r="M49" s="18">
        <f t="shared" si="2"/>
        <v>15297873.5</v>
      </c>
      <c r="N49" s="31">
        <f>(VLOOKUP(B49,[2]Sheet1!$B$17:$N$77,13,0))+15297873.5</f>
        <v>158827008.34</v>
      </c>
      <c r="O49" s="34">
        <f t="shared" si="3"/>
        <v>3.252838330987973E-4</v>
      </c>
      <c r="P49" s="36"/>
    </row>
    <row r="50" spans="1:17" x14ac:dyDescent="0.25">
      <c r="A50" s="12">
        <v>35</v>
      </c>
      <c r="B50" s="13" t="s">
        <v>65</v>
      </c>
      <c r="C50" s="14" t="s">
        <v>66</v>
      </c>
      <c r="D50" s="15" t="s">
        <v>14</v>
      </c>
      <c r="E50" s="16"/>
      <c r="F50" s="16"/>
      <c r="G50" s="17">
        <f>VLOOKUP(B50,[1]Brokers!$B$9:$H$69,7,0)</f>
        <v>1687400</v>
      </c>
      <c r="H50" s="17">
        <f>VLOOKUP(B50,[3]Brokers!$B$9:$W$69,22,0)</f>
        <v>0</v>
      </c>
      <c r="I50" s="40">
        <f>VLOOKUP(B50,[1]Brokers!$B$9:$R$69,17,0)</f>
        <v>0</v>
      </c>
      <c r="J50" s="17">
        <f>VLOOKUP(B50,[1]Brokers!$B$9:$M$69,12,0)</f>
        <v>0</v>
      </c>
      <c r="K50" s="17">
        <v>0</v>
      </c>
      <c r="L50" s="17">
        <v>0</v>
      </c>
      <c r="M50" s="18">
        <f t="shared" si="2"/>
        <v>1687400</v>
      </c>
      <c r="N50" s="31">
        <f>(VLOOKUP(B50,[2]Sheet1!$B$17:$N$77,13,0))+1687400</f>
        <v>153686299.26999998</v>
      </c>
      <c r="O50" s="34">
        <f t="shared" si="3"/>
        <v>3.1475546283852196E-4</v>
      </c>
      <c r="P50" s="36"/>
    </row>
    <row r="51" spans="1:17" s="20" customFormat="1" x14ac:dyDescent="0.25">
      <c r="A51" s="12">
        <v>36</v>
      </c>
      <c r="B51" s="13" t="s">
        <v>63</v>
      </c>
      <c r="C51" s="14" t="s">
        <v>64</v>
      </c>
      <c r="D51" s="15" t="s">
        <v>14</v>
      </c>
      <c r="E51" s="16"/>
      <c r="F51" s="16"/>
      <c r="G51" s="17">
        <f>VLOOKUP(B51,[1]Brokers!$B$9:$H$69,7,0)</f>
        <v>0</v>
      </c>
      <c r="H51" s="17">
        <f>VLOOKUP(B51,[3]Brokers!$B$9:$W$69,22,0)</f>
        <v>0</v>
      </c>
      <c r="I51" s="40">
        <f>VLOOKUP(B51,[1]Brokers!$B$9:$R$69,17,0)</f>
        <v>0</v>
      </c>
      <c r="J51" s="17">
        <f>VLOOKUP(B51,[1]Brokers!$B$9:$M$69,12,0)</f>
        <v>0</v>
      </c>
      <c r="K51" s="17">
        <v>0</v>
      </c>
      <c r="L51" s="17">
        <v>0</v>
      </c>
      <c r="M51" s="18">
        <f t="shared" si="2"/>
        <v>0</v>
      </c>
      <c r="N51" s="31">
        <f>(VLOOKUP(B51,[2]Sheet1!$B$17:$N$77,13,0))+0</f>
        <v>133224204.21000001</v>
      </c>
      <c r="O51" s="34">
        <f t="shared" si="3"/>
        <v>2.7284830369780249E-4</v>
      </c>
      <c r="P51" s="36"/>
      <c r="Q51" s="19"/>
    </row>
    <row r="52" spans="1:17" x14ac:dyDescent="0.25">
      <c r="A52" s="12">
        <v>37</v>
      </c>
      <c r="B52" s="13" t="s">
        <v>39</v>
      </c>
      <c r="C52" s="14" t="s">
        <v>40</v>
      </c>
      <c r="D52" s="15" t="s">
        <v>14</v>
      </c>
      <c r="E52" s="16"/>
      <c r="F52" s="16"/>
      <c r="G52" s="17">
        <f>VLOOKUP(B52,[1]Brokers!$B$9:$H$69,7,0)</f>
        <v>1068800</v>
      </c>
      <c r="H52" s="17">
        <f>VLOOKUP(B52,[3]Brokers!$B$9:$W$69,22,0)</f>
        <v>0</v>
      </c>
      <c r="I52" s="40">
        <f>VLOOKUP(B52,[1]Brokers!$B$9:$R$69,17,0)</f>
        <v>0</v>
      </c>
      <c r="J52" s="17">
        <f>VLOOKUP(B52,[1]Brokers!$B$9:$M$69,12,0)</f>
        <v>0</v>
      </c>
      <c r="K52" s="17">
        <v>0</v>
      </c>
      <c r="L52" s="17">
        <v>0</v>
      </c>
      <c r="M52" s="18">
        <f t="shared" si="2"/>
        <v>1068800</v>
      </c>
      <c r="N52" s="31">
        <f>(VLOOKUP(B52,[2]Sheet1!$B$17:$N$77,13,0))+1068800</f>
        <v>131223043.60000001</v>
      </c>
      <c r="O52" s="34">
        <f t="shared" si="3"/>
        <v>2.6874984965858989E-4</v>
      </c>
      <c r="P52" s="36"/>
    </row>
    <row r="53" spans="1:17" x14ac:dyDescent="0.25">
      <c r="A53" s="12">
        <v>38</v>
      </c>
      <c r="B53" s="13" t="s">
        <v>88</v>
      </c>
      <c r="C53" s="14" t="s">
        <v>89</v>
      </c>
      <c r="D53" s="15" t="s">
        <v>14</v>
      </c>
      <c r="E53" s="16"/>
      <c r="F53" s="16"/>
      <c r="G53" s="17">
        <f>VLOOKUP(B53,[1]Brokers!$B$9:$H$69,7,0)</f>
        <v>1920110</v>
      </c>
      <c r="H53" s="17">
        <f>VLOOKUP(B53,[3]Brokers!$B$9:$W$69,22,0)</f>
        <v>0</v>
      </c>
      <c r="I53" s="40">
        <f>VLOOKUP(B53,[1]Brokers!$B$9:$R$69,17,0)</f>
        <v>0</v>
      </c>
      <c r="J53" s="17">
        <f>VLOOKUP(B53,[1]Brokers!$B$9:$M$69,12,0)</f>
        <v>0</v>
      </c>
      <c r="K53" s="17">
        <v>0</v>
      </c>
      <c r="L53" s="17">
        <v>0</v>
      </c>
      <c r="M53" s="18">
        <f t="shared" si="2"/>
        <v>1920110</v>
      </c>
      <c r="N53" s="31">
        <f>(VLOOKUP(B53,[2]Sheet1!$B$17:$N$77,13,0))+1920110</f>
        <v>87975976.23999998</v>
      </c>
      <c r="O53" s="34">
        <f t="shared" si="3"/>
        <v>1.8017818928311817E-4</v>
      </c>
      <c r="P53" s="36"/>
    </row>
    <row r="54" spans="1:17" x14ac:dyDescent="0.25">
      <c r="A54" s="12">
        <v>39</v>
      </c>
      <c r="B54" s="13" t="s">
        <v>84</v>
      </c>
      <c r="C54" s="14" t="s">
        <v>85</v>
      </c>
      <c r="D54" s="15" t="s">
        <v>14</v>
      </c>
      <c r="E54" s="16" t="s">
        <v>14</v>
      </c>
      <c r="F54" s="16"/>
      <c r="G54" s="17">
        <f>VLOOKUP(B54,[1]Brokers!$B$9:$H$69,7,0)</f>
        <v>534735</v>
      </c>
      <c r="H54" s="17">
        <f>VLOOKUP(B54,[3]Brokers!$B$9:$W$69,22,0)</f>
        <v>0</v>
      </c>
      <c r="I54" s="40">
        <f>VLOOKUP(B54,[1]Brokers!$B$9:$R$69,17,0)</f>
        <v>0</v>
      </c>
      <c r="J54" s="17">
        <f>VLOOKUP(B54,[1]Brokers!$B$9:$M$69,12,0)</f>
        <v>0</v>
      </c>
      <c r="K54" s="17">
        <v>0</v>
      </c>
      <c r="L54" s="17">
        <v>0</v>
      </c>
      <c r="M54" s="18">
        <f t="shared" si="2"/>
        <v>534735</v>
      </c>
      <c r="N54" s="31">
        <f>(VLOOKUP(B54,[2]Sheet1!$B$17:$N$77,13,0))+534735</f>
        <v>73291459.969999999</v>
      </c>
      <c r="O54" s="34">
        <f t="shared" si="3"/>
        <v>1.5010373412948378E-4</v>
      </c>
      <c r="P54" s="36"/>
    </row>
    <row r="55" spans="1:17" x14ac:dyDescent="0.25">
      <c r="A55" s="12">
        <v>40</v>
      </c>
      <c r="B55" s="13" t="s">
        <v>57</v>
      </c>
      <c r="C55" s="14" t="s">
        <v>58</v>
      </c>
      <c r="D55" s="15" t="s">
        <v>14</v>
      </c>
      <c r="E55" s="16" t="s">
        <v>14</v>
      </c>
      <c r="F55" s="16"/>
      <c r="G55" s="17">
        <f>VLOOKUP(B55,[1]Brokers!$B$9:$H$69,7,0)</f>
        <v>7926997</v>
      </c>
      <c r="H55" s="17">
        <f>VLOOKUP(B55,[3]Brokers!$B$9:$W$69,22,0)</f>
        <v>0</v>
      </c>
      <c r="I55" s="40">
        <f>VLOOKUP(B55,[1]Brokers!$B$9:$R$69,17,0)</f>
        <v>0</v>
      </c>
      <c r="J55" s="17">
        <f>VLOOKUP(B55,[1]Brokers!$B$9:$M$69,12,0)</f>
        <v>0</v>
      </c>
      <c r="K55" s="17">
        <v>0</v>
      </c>
      <c r="L55" s="17">
        <v>0</v>
      </c>
      <c r="M55" s="18">
        <f t="shared" si="2"/>
        <v>7926997</v>
      </c>
      <c r="N55" s="31">
        <f>(VLOOKUP(B55,[2]Sheet1!$B$17:$N$77,13,0))+7926997</f>
        <v>66465357.419999994</v>
      </c>
      <c r="O55" s="34">
        <f t="shared" si="3"/>
        <v>1.3612361307956616E-4</v>
      </c>
      <c r="P55" s="36"/>
    </row>
    <row r="56" spans="1:17" x14ac:dyDescent="0.25">
      <c r="A56" s="12">
        <v>41</v>
      </c>
      <c r="B56" s="13" t="s">
        <v>131</v>
      </c>
      <c r="C56" s="14" t="s">
        <v>130</v>
      </c>
      <c r="D56" s="15" t="s">
        <v>14</v>
      </c>
      <c r="E56" s="16"/>
      <c r="F56" s="16"/>
      <c r="G56" s="17">
        <f>VLOOKUP(B56,[1]Brokers!$B$9:$H$69,7,0)</f>
        <v>104000</v>
      </c>
      <c r="H56" s="17">
        <f>VLOOKUP(B56,[3]Brokers!$B$9:$W$69,22,0)</f>
        <v>0</v>
      </c>
      <c r="I56" s="40">
        <f>VLOOKUP(B56,[1]Brokers!$B$9:$R$69,17,0)</f>
        <v>0</v>
      </c>
      <c r="J56" s="17">
        <f>VLOOKUP(B56,[1]Brokers!$B$9:$M$69,12,0)</f>
        <v>0</v>
      </c>
      <c r="K56" s="17"/>
      <c r="L56" s="17">
        <v>0</v>
      </c>
      <c r="M56" s="18">
        <f t="shared" si="2"/>
        <v>104000</v>
      </c>
      <c r="N56" s="31">
        <f>(VLOOKUP(B56,[2]Sheet1!$B$17:$N$77,13,0))+104000</f>
        <v>56075673.149999999</v>
      </c>
      <c r="O56" s="34">
        <f t="shared" si="3"/>
        <v>1.1484513935299947E-4</v>
      </c>
      <c r="P56" s="36"/>
    </row>
    <row r="57" spans="1:17" x14ac:dyDescent="0.25">
      <c r="A57" s="12">
        <v>42</v>
      </c>
      <c r="B57" s="13" t="s">
        <v>90</v>
      </c>
      <c r="C57" s="14" t="s">
        <v>91</v>
      </c>
      <c r="D57" s="15" t="s">
        <v>14</v>
      </c>
      <c r="E57" s="16"/>
      <c r="F57" s="16"/>
      <c r="G57" s="17">
        <f>VLOOKUP(B57,[1]Brokers!$B$9:$H$69,7,0)</f>
        <v>0</v>
      </c>
      <c r="H57" s="17">
        <f>VLOOKUP(B57,[3]Brokers!$B$9:$W$69,22,0)</f>
        <v>0</v>
      </c>
      <c r="I57" s="40">
        <f>VLOOKUP(B57,[1]Brokers!$B$9:$R$69,17,0)</f>
        <v>0</v>
      </c>
      <c r="J57" s="17">
        <f>VLOOKUP(B57,[1]Brokers!$B$9:$M$69,12,0)</f>
        <v>0</v>
      </c>
      <c r="K57" s="17">
        <v>0</v>
      </c>
      <c r="L57" s="17">
        <v>0</v>
      </c>
      <c r="M57" s="18">
        <f t="shared" si="2"/>
        <v>0</v>
      </c>
      <c r="N57" s="31">
        <f>(VLOOKUP(B57,[2]Sheet1!$B$17:$N$77,13,0))+0</f>
        <v>48181245.030000001</v>
      </c>
      <c r="O57" s="34">
        <f t="shared" si="3"/>
        <v>9.8677046370353972E-5</v>
      </c>
      <c r="P57" s="36"/>
    </row>
    <row r="58" spans="1:17" x14ac:dyDescent="0.25">
      <c r="A58" s="12">
        <v>43</v>
      </c>
      <c r="B58" s="13" t="s">
        <v>96</v>
      </c>
      <c r="C58" s="14" t="s">
        <v>97</v>
      </c>
      <c r="D58" s="15" t="s">
        <v>14</v>
      </c>
      <c r="E58" s="16"/>
      <c r="F58" s="16"/>
      <c r="G58" s="17">
        <f>VLOOKUP(B58,[1]Brokers!$B$9:$H$69,7,0)</f>
        <v>1871145</v>
      </c>
      <c r="H58" s="17">
        <f>VLOOKUP(B58,[3]Brokers!$B$9:$W$69,22,0)</f>
        <v>0</v>
      </c>
      <c r="I58" s="40">
        <f>VLOOKUP(B58,[1]Brokers!$B$9:$R$69,17,0)</f>
        <v>0</v>
      </c>
      <c r="J58" s="17">
        <f>VLOOKUP(B58,[1]Brokers!$B$9:$M$69,12,0)</f>
        <v>0</v>
      </c>
      <c r="K58" s="17">
        <v>0</v>
      </c>
      <c r="L58" s="17">
        <v>0</v>
      </c>
      <c r="M58" s="18">
        <f t="shared" si="2"/>
        <v>1871145</v>
      </c>
      <c r="N58" s="31">
        <f>(VLOOKUP(B58,[2]Sheet1!$B$17:$N$77,13,0))+1871145</f>
        <v>22435840</v>
      </c>
      <c r="O58" s="34">
        <f t="shared" si="3"/>
        <v>4.5949464831374912E-5</v>
      </c>
      <c r="P58" s="36"/>
    </row>
    <row r="59" spans="1:17" x14ac:dyDescent="0.25">
      <c r="A59" s="12">
        <v>44</v>
      </c>
      <c r="B59" s="13" t="s">
        <v>133</v>
      </c>
      <c r="C59" s="14" t="s">
        <v>135</v>
      </c>
      <c r="D59" s="15" t="s">
        <v>14</v>
      </c>
      <c r="E59" s="16"/>
      <c r="F59" s="16"/>
      <c r="G59" s="17">
        <f>VLOOKUP(B59,[1]Brokers!$B$9:$H$69,7,0)</f>
        <v>20046831.199999999</v>
      </c>
      <c r="H59" s="17">
        <v>1500000</v>
      </c>
      <c r="I59" s="40">
        <f>VLOOKUP(B59,[1]Brokers!$B$9:$R$69,17,0)</f>
        <v>0</v>
      </c>
      <c r="J59" s="17">
        <f>VLOOKUP(B59,[1]Brokers!$B$9:$M$69,12,0)</f>
        <v>0</v>
      </c>
      <c r="K59" s="17">
        <v>0</v>
      </c>
      <c r="L59" s="17">
        <v>0</v>
      </c>
      <c r="M59" s="18">
        <f t="shared" si="2"/>
        <v>21546831.199999999</v>
      </c>
      <c r="N59" s="31">
        <f>(VLOOKUP(B59,[2]Sheet1!$B$17:$N$77,13,0))+21546831.2</f>
        <v>21660331.199999999</v>
      </c>
      <c r="O59" s="34">
        <f t="shared" si="3"/>
        <v>4.4361192926600156E-5</v>
      </c>
      <c r="P59" s="36"/>
    </row>
    <row r="60" spans="1:17" x14ac:dyDescent="0.25">
      <c r="A60" s="12">
        <v>45</v>
      </c>
      <c r="B60" s="13" t="s">
        <v>86</v>
      </c>
      <c r="C60" s="14" t="s">
        <v>87</v>
      </c>
      <c r="D60" s="15" t="s">
        <v>14</v>
      </c>
      <c r="E60" s="16"/>
      <c r="F60" s="16"/>
      <c r="G60" s="17">
        <f>VLOOKUP(B60,[1]Brokers!$B$9:$H$69,7,0)</f>
        <v>1849200</v>
      </c>
      <c r="H60" s="17">
        <f>VLOOKUP(B60,[3]Brokers!$B$9:$W$69,22,0)</f>
        <v>0</v>
      </c>
      <c r="I60" s="40">
        <f>VLOOKUP(B60,[1]Brokers!$B$9:$R$69,17,0)</f>
        <v>0</v>
      </c>
      <c r="J60" s="17">
        <f>VLOOKUP(B60,[1]Brokers!$B$9:$M$69,12,0)</f>
        <v>0</v>
      </c>
      <c r="K60" s="17">
        <v>0</v>
      </c>
      <c r="L60" s="17">
        <v>0</v>
      </c>
      <c r="M60" s="18">
        <f t="shared" si="2"/>
        <v>1849200</v>
      </c>
      <c r="N60" s="31">
        <f>(VLOOKUP(B60,[2]Sheet1!$B$17:$N$77,13,0))+1849200</f>
        <v>20811836.300000001</v>
      </c>
      <c r="O60" s="34">
        <f t="shared" si="3"/>
        <v>4.2623442676680789E-5</v>
      </c>
      <c r="P60" s="36"/>
    </row>
    <row r="61" spans="1:17" x14ac:dyDescent="0.25">
      <c r="A61" s="12">
        <v>46</v>
      </c>
      <c r="B61" s="13" t="s">
        <v>104</v>
      </c>
      <c r="C61" s="14" t="s">
        <v>105</v>
      </c>
      <c r="D61" s="15" t="s">
        <v>14</v>
      </c>
      <c r="E61" s="15" t="s">
        <v>14</v>
      </c>
      <c r="F61" s="16"/>
      <c r="G61" s="17">
        <f>VLOOKUP(B61,[1]Brokers!$B$9:$H$69,7,0)</f>
        <v>0</v>
      </c>
      <c r="H61" s="17">
        <f>VLOOKUP(B61,[3]Brokers!$B$9:$W$69,22,0)</f>
        <v>0</v>
      </c>
      <c r="I61" s="40">
        <f>VLOOKUP(B61,[1]Brokers!$B$9:$R$69,17,0)</f>
        <v>0</v>
      </c>
      <c r="J61" s="17">
        <f>VLOOKUP(B61,[1]Brokers!$B$9:$M$69,12,0)</f>
        <v>0</v>
      </c>
      <c r="K61" s="17">
        <v>0</v>
      </c>
      <c r="L61" s="17">
        <v>0</v>
      </c>
      <c r="M61" s="18">
        <f t="shared" si="2"/>
        <v>0</v>
      </c>
      <c r="N61" s="31">
        <f>(VLOOKUP(B61,[2]Sheet1!$B$17:$N$77,13,0))+0</f>
        <v>3788300</v>
      </c>
      <c r="O61" s="34">
        <f t="shared" si="3"/>
        <v>7.7585843730699443E-6</v>
      </c>
      <c r="P61" s="36"/>
    </row>
    <row r="62" spans="1:17" x14ac:dyDescent="0.25">
      <c r="A62" s="12">
        <v>47</v>
      </c>
      <c r="B62" s="13" t="s">
        <v>110</v>
      </c>
      <c r="C62" s="14" t="s">
        <v>111</v>
      </c>
      <c r="D62" s="15" t="s">
        <v>14</v>
      </c>
      <c r="E62" s="16"/>
      <c r="F62" s="16"/>
      <c r="G62" s="17">
        <f>VLOOKUP(B62,[1]Brokers!$B$9:$H$69,7,0)</f>
        <v>49000</v>
      </c>
      <c r="H62" s="17">
        <f>VLOOKUP(B62,[3]Brokers!$B$9:$W$69,22,0)</f>
        <v>0</v>
      </c>
      <c r="I62" s="40">
        <f>VLOOKUP(B62,[1]Brokers!$B$9:$R$69,17,0)</f>
        <v>0</v>
      </c>
      <c r="J62" s="17">
        <f>VLOOKUP(B62,[1]Brokers!$B$9:$M$69,12,0)</f>
        <v>0</v>
      </c>
      <c r="K62" s="17">
        <v>0</v>
      </c>
      <c r="L62" s="17">
        <v>0</v>
      </c>
      <c r="M62" s="18">
        <f t="shared" si="2"/>
        <v>49000</v>
      </c>
      <c r="N62" s="31">
        <f>(VLOOKUP(B62,[2]Sheet1!$B$17:$N$77,13,0))+49000</f>
        <v>49000</v>
      </c>
      <c r="O62" s="34">
        <f t="shared" si="3"/>
        <v>1.0035388809767635E-7</v>
      </c>
      <c r="P62" s="36"/>
    </row>
    <row r="63" spans="1:17" x14ac:dyDescent="0.25">
      <c r="A63" s="12">
        <v>48</v>
      </c>
      <c r="B63" s="13" t="s">
        <v>112</v>
      </c>
      <c r="C63" s="14" t="s">
        <v>113</v>
      </c>
      <c r="D63" s="15"/>
      <c r="E63" s="16"/>
      <c r="F63" s="16"/>
      <c r="G63" s="17">
        <f>VLOOKUP(B63,[1]Brokers!$B$9:$H$69,7,0)</f>
        <v>0</v>
      </c>
      <c r="H63" s="17">
        <f>VLOOKUP(B63,[3]Brokers!$B$9:$W$69,22,0)</f>
        <v>0</v>
      </c>
      <c r="I63" s="40">
        <f>VLOOKUP(B63,[1]Brokers!$B$9:$R$69,17,0)</f>
        <v>0</v>
      </c>
      <c r="J63" s="17">
        <f>VLOOKUP(B63,[1]Brokers!$B$9:$M$69,12,0)</f>
        <v>0</v>
      </c>
      <c r="K63" s="17">
        <v>0</v>
      </c>
      <c r="L63" s="17">
        <v>0</v>
      </c>
      <c r="M63" s="18">
        <f t="shared" si="2"/>
        <v>0</v>
      </c>
      <c r="N63" s="31">
        <f>(VLOOKUP(B63,[2]Sheet1!$B$17:$N$77,13,0))+0</f>
        <v>0</v>
      </c>
      <c r="O63" s="34">
        <f t="shared" si="3"/>
        <v>0</v>
      </c>
      <c r="P63" s="36"/>
    </row>
    <row r="64" spans="1:17" x14ac:dyDescent="0.25">
      <c r="A64" s="12">
        <v>49</v>
      </c>
      <c r="B64" s="13" t="s">
        <v>116</v>
      </c>
      <c r="C64" s="14" t="s">
        <v>117</v>
      </c>
      <c r="D64" s="15"/>
      <c r="E64" s="16"/>
      <c r="F64" s="16"/>
      <c r="G64" s="17">
        <f>VLOOKUP(B64,[1]Brokers!$B$9:$H$69,7,0)</f>
        <v>0</v>
      </c>
      <c r="H64" s="17">
        <f>VLOOKUP(B64,[3]Brokers!$B$9:$W$69,22,0)</f>
        <v>0</v>
      </c>
      <c r="I64" s="40">
        <f>VLOOKUP(B64,[1]Brokers!$B$9:$R$69,17,0)</f>
        <v>0</v>
      </c>
      <c r="J64" s="17">
        <f>VLOOKUP(B64,[1]Brokers!$B$9:$M$69,12,0)</f>
        <v>0</v>
      </c>
      <c r="K64" s="17">
        <v>0</v>
      </c>
      <c r="L64" s="17">
        <v>0</v>
      </c>
      <c r="M64" s="18">
        <f t="shared" si="2"/>
        <v>0</v>
      </c>
      <c r="N64" s="31">
        <f>(VLOOKUP(B64,[2]Sheet1!$B$17:$N$77,13,0))+0</f>
        <v>0</v>
      </c>
      <c r="O64" s="34">
        <f t="shared" si="3"/>
        <v>0</v>
      </c>
      <c r="P64" s="36"/>
    </row>
    <row r="65" spans="1:17" x14ac:dyDescent="0.25">
      <c r="A65" s="12">
        <v>50</v>
      </c>
      <c r="B65" s="13" t="s">
        <v>114</v>
      </c>
      <c r="C65" s="14" t="s">
        <v>115</v>
      </c>
      <c r="D65" s="15"/>
      <c r="E65" s="16"/>
      <c r="F65" s="16"/>
      <c r="G65" s="17">
        <f>VLOOKUP(B65,[1]Brokers!$B$9:$H$69,7,0)</f>
        <v>0</v>
      </c>
      <c r="H65" s="17">
        <f>VLOOKUP(B65,[3]Brokers!$B$9:$W$69,22,0)</f>
        <v>0</v>
      </c>
      <c r="I65" s="40">
        <f>VLOOKUP(B65,[1]Brokers!$B$9:$R$69,17,0)</f>
        <v>0</v>
      </c>
      <c r="J65" s="17">
        <f>VLOOKUP(B65,[1]Brokers!$B$9:$M$69,12,0)</f>
        <v>0</v>
      </c>
      <c r="K65" s="17">
        <v>0</v>
      </c>
      <c r="L65" s="17">
        <v>0</v>
      </c>
      <c r="M65" s="18">
        <f t="shared" si="2"/>
        <v>0</v>
      </c>
      <c r="N65" s="31">
        <f>(VLOOKUP(B65,[2]Sheet1!$B$17:$N$77,13,0))+0</f>
        <v>0</v>
      </c>
      <c r="O65" s="34">
        <f t="shared" si="3"/>
        <v>0</v>
      </c>
      <c r="P65" s="36"/>
    </row>
    <row r="66" spans="1:17" x14ac:dyDescent="0.25">
      <c r="A66" s="12">
        <v>51</v>
      </c>
      <c r="B66" s="13" t="s">
        <v>108</v>
      </c>
      <c r="C66" s="14" t="s">
        <v>109</v>
      </c>
      <c r="D66" s="15"/>
      <c r="E66" s="16"/>
      <c r="F66" s="16"/>
      <c r="G66" s="17">
        <f>VLOOKUP(B66,[1]Brokers!$B$9:$H$69,7,0)</f>
        <v>0</v>
      </c>
      <c r="H66" s="17">
        <f>VLOOKUP(B66,[3]Brokers!$B$9:$W$69,22,0)</f>
        <v>0</v>
      </c>
      <c r="I66" s="40">
        <f>VLOOKUP(B66,[1]Brokers!$B$9:$R$69,17,0)</f>
        <v>0</v>
      </c>
      <c r="J66" s="17">
        <f>VLOOKUP(B66,[1]Brokers!$B$9:$M$69,12,0)</f>
        <v>0</v>
      </c>
      <c r="K66" s="17">
        <v>0</v>
      </c>
      <c r="L66" s="17">
        <v>0</v>
      </c>
      <c r="M66" s="18">
        <f t="shared" si="2"/>
        <v>0</v>
      </c>
      <c r="N66" s="31">
        <f>(VLOOKUP(B66,[2]Sheet1!$B$17:$N$77,13,0))+0</f>
        <v>0</v>
      </c>
      <c r="O66" s="34">
        <f t="shared" si="3"/>
        <v>0</v>
      </c>
      <c r="P66" s="36"/>
    </row>
    <row r="67" spans="1:17" x14ac:dyDescent="0.25">
      <c r="A67" s="12">
        <v>52</v>
      </c>
      <c r="B67" s="13" t="s">
        <v>71</v>
      </c>
      <c r="C67" s="14" t="s">
        <v>72</v>
      </c>
      <c r="D67" s="15" t="s">
        <v>14</v>
      </c>
      <c r="E67" s="16" t="s">
        <v>14</v>
      </c>
      <c r="F67" s="16"/>
      <c r="G67" s="17">
        <f>VLOOKUP(B67,[1]Brokers!$B$9:$H$69,7,0)</f>
        <v>0</v>
      </c>
      <c r="H67" s="17">
        <f>VLOOKUP(B67,[3]Brokers!$B$9:$W$69,22,0)</f>
        <v>0</v>
      </c>
      <c r="I67" s="40">
        <f>VLOOKUP(B67,[1]Brokers!$B$9:$R$69,17,0)</f>
        <v>0</v>
      </c>
      <c r="J67" s="17">
        <f>VLOOKUP(B67,[1]Brokers!$B$9:$M$69,12,0)</f>
        <v>0</v>
      </c>
      <c r="K67" s="17">
        <v>0</v>
      </c>
      <c r="L67" s="17">
        <v>0</v>
      </c>
      <c r="M67" s="18">
        <f t="shared" si="2"/>
        <v>0</v>
      </c>
      <c r="N67" s="31">
        <f>(VLOOKUP(B67,[2]Sheet1!$B$17:$N$77,13,0))+0</f>
        <v>0</v>
      </c>
      <c r="O67" s="34">
        <f t="shared" si="3"/>
        <v>0</v>
      </c>
      <c r="P67" s="36"/>
    </row>
    <row r="68" spans="1:17" x14ac:dyDescent="0.25">
      <c r="A68" s="12">
        <v>53</v>
      </c>
      <c r="B68" s="13" t="s">
        <v>92</v>
      </c>
      <c r="C68" s="14" t="s">
        <v>93</v>
      </c>
      <c r="D68" s="15" t="s">
        <v>14</v>
      </c>
      <c r="E68" s="16" t="s">
        <v>14</v>
      </c>
      <c r="F68" s="16" t="s">
        <v>14</v>
      </c>
      <c r="G68" s="17">
        <f>VLOOKUP(B68,[1]Brokers!$B$9:$H$69,7,0)</f>
        <v>0</v>
      </c>
      <c r="H68" s="17">
        <f>VLOOKUP(B68,[3]Brokers!$B$9:$W$69,22,0)</f>
        <v>0</v>
      </c>
      <c r="I68" s="40">
        <f>VLOOKUP(B68,[1]Brokers!$B$9:$R$69,17,0)</f>
        <v>0</v>
      </c>
      <c r="J68" s="17">
        <f>VLOOKUP(B68,[1]Brokers!$B$9:$M$69,12,0)</f>
        <v>0</v>
      </c>
      <c r="K68" s="17">
        <v>0</v>
      </c>
      <c r="L68" s="17">
        <v>0</v>
      </c>
      <c r="M68" s="18">
        <f t="shared" si="2"/>
        <v>0</v>
      </c>
      <c r="N68" s="31">
        <f>(VLOOKUP(B68,[2]Sheet1!$B$17:$N$77,13,0))+0</f>
        <v>0</v>
      </c>
      <c r="O68" s="34">
        <f t="shared" si="3"/>
        <v>0</v>
      </c>
      <c r="P68" s="36"/>
    </row>
    <row r="69" spans="1:17" x14ac:dyDescent="0.25">
      <c r="A69" s="12">
        <v>54</v>
      </c>
      <c r="B69" s="13" t="s">
        <v>98</v>
      </c>
      <c r="C69" s="14" t="s">
        <v>99</v>
      </c>
      <c r="D69" s="15" t="s">
        <v>14</v>
      </c>
      <c r="E69" s="16" t="s">
        <v>14</v>
      </c>
      <c r="F69" s="16" t="s">
        <v>14</v>
      </c>
      <c r="G69" s="17">
        <f>VLOOKUP(B69,[1]Brokers!$B$9:$H$69,7,0)</f>
        <v>0</v>
      </c>
      <c r="H69" s="17">
        <f>VLOOKUP(B69,[3]Brokers!$B$9:$W$69,22,0)</f>
        <v>0</v>
      </c>
      <c r="I69" s="40">
        <f>VLOOKUP(B69,[1]Brokers!$B$9:$R$69,17,0)</f>
        <v>0</v>
      </c>
      <c r="J69" s="17">
        <f>VLOOKUP(B69,[1]Brokers!$B$9:$M$69,12,0)</f>
        <v>0</v>
      </c>
      <c r="K69" s="17">
        <v>0</v>
      </c>
      <c r="L69" s="17">
        <v>0</v>
      </c>
      <c r="M69" s="18">
        <f t="shared" si="2"/>
        <v>0</v>
      </c>
      <c r="N69" s="31">
        <f>(VLOOKUP(B69,[2]Sheet1!$B$17:$N$77,13,0))+0</f>
        <v>0</v>
      </c>
      <c r="O69" s="34">
        <f t="shared" si="3"/>
        <v>0</v>
      </c>
      <c r="P69" s="36"/>
    </row>
    <row r="70" spans="1:17" x14ac:dyDescent="0.25">
      <c r="A70" s="12">
        <v>55</v>
      </c>
      <c r="B70" s="13" t="s">
        <v>100</v>
      </c>
      <c r="C70" s="14" t="s">
        <v>101</v>
      </c>
      <c r="D70" s="15" t="s">
        <v>14</v>
      </c>
      <c r="E70" s="16"/>
      <c r="F70" s="16"/>
      <c r="G70" s="17">
        <f>VLOOKUP(B70,[1]Brokers!$B$9:$H$69,7,0)</f>
        <v>0</v>
      </c>
      <c r="H70" s="17">
        <f>VLOOKUP(B70,[3]Brokers!$B$9:$W$69,22,0)</f>
        <v>0</v>
      </c>
      <c r="I70" s="40">
        <f>VLOOKUP(B70,[1]Brokers!$B$9:$R$69,17,0)</f>
        <v>0</v>
      </c>
      <c r="J70" s="17">
        <f>VLOOKUP(B70,[1]Brokers!$B$9:$M$69,12,0)</f>
        <v>0</v>
      </c>
      <c r="K70" s="17">
        <v>0</v>
      </c>
      <c r="L70" s="17">
        <v>0</v>
      </c>
      <c r="M70" s="18">
        <f t="shared" si="2"/>
        <v>0</v>
      </c>
      <c r="N70" s="31">
        <f>(VLOOKUP(B70,[2]Sheet1!$B$17:$N$77,13,0))+0</f>
        <v>0</v>
      </c>
      <c r="O70" s="34">
        <f t="shared" si="3"/>
        <v>0</v>
      </c>
      <c r="P70" s="36"/>
    </row>
    <row r="71" spans="1:17" x14ac:dyDescent="0.25">
      <c r="A71" s="12">
        <v>56</v>
      </c>
      <c r="B71" s="13" t="s">
        <v>102</v>
      </c>
      <c r="C71" s="14" t="s">
        <v>103</v>
      </c>
      <c r="D71" s="15" t="s">
        <v>14</v>
      </c>
      <c r="E71" s="16"/>
      <c r="F71" s="16"/>
      <c r="G71" s="17">
        <f>VLOOKUP(B71,[1]Brokers!$B$9:$H$69,7,0)</f>
        <v>0</v>
      </c>
      <c r="H71" s="17">
        <f>VLOOKUP(B71,[3]Brokers!$B$9:$W$69,22,0)</f>
        <v>0</v>
      </c>
      <c r="I71" s="40">
        <f>VLOOKUP(B71,[1]Brokers!$B$9:$R$69,17,0)</f>
        <v>0</v>
      </c>
      <c r="J71" s="17">
        <f>VLOOKUP(B71,[1]Brokers!$B$9:$M$69,12,0)</f>
        <v>0</v>
      </c>
      <c r="K71" s="17">
        <v>0</v>
      </c>
      <c r="L71" s="17">
        <v>0</v>
      </c>
      <c r="M71" s="18">
        <f t="shared" si="2"/>
        <v>0</v>
      </c>
      <c r="N71" s="31">
        <f>(VLOOKUP(B71,[2]Sheet1!$B$17:$N$77,13,0))+0</f>
        <v>0</v>
      </c>
      <c r="O71" s="34">
        <f t="shared" si="3"/>
        <v>0</v>
      </c>
      <c r="P71" s="36"/>
      <c r="Q71" s="21"/>
    </row>
    <row r="72" spans="1:17" x14ac:dyDescent="0.25">
      <c r="A72" s="12">
        <v>57</v>
      </c>
      <c r="B72" s="13" t="s">
        <v>120</v>
      </c>
      <c r="C72" s="14" t="s">
        <v>121</v>
      </c>
      <c r="D72" s="15" t="s">
        <v>14</v>
      </c>
      <c r="E72" s="16"/>
      <c r="F72" s="16"/>
      <c r="G72" s="17">
        <f>VLOOKUP(B72,[1]Brokers!$B$9:$H$69,7,0)</f>
        <v>0</v>
      </c>
      <c r="H72" s="17">
        <f>VLOOKUP(B72,[3]Brokers!$B$9:$W$69,22,0)</f>
        <v>0</v>
      </c>
      <c r="I72" s="40">
        <f>VLOOKUP(B72,[1]Brokers!$B$9:$R$69,17,0)</f>
        <v>0</v>
      </c>
      <c r="J72" s="17">
        <f>VLOOKUP(B72,[1]Brokers!$B$9:$M$69,12,0)</f>
        <v>0</v>
      </c>
      <c r="K72" s="17">
        <v>0</v>
      </c>
      <c r="L72" s="17">
        <v>0</v>
      </c>
      <c r="M72" s="18">
        <f t="shared" si="2"/>
        <v>0</v>
      </c>
      <c r="N72" s="31">
        <f>(VLOOKUP(B72,[2]Sheet1!$B$17:$N$77,13,0))+0</f>
        <v>0</v>
      </c>
      <c r="O72" s="34">
        <f t="shared" si="3"/>
        <v>0</v>
      </c>
      <c r="P72" s="36"/>
      <c r="Q72" s="21"/>
    </row>
    <row r="73" spans="1:17" x14ac:dyDescent="0.25">
      <c r="A73" s="12">
        <v>58</v>
      </c>
      <c r="B73" s="37" t="s">
        <v>122</v>
      </c>
      <c r="C73" s="38" t="s">
        <v>123</v>
      </c>
      <c r="D73" s="15" t="s">
        <v>14</v>
      </c>
      <c r="E73" s="39"/>
      <c r="F73" s="39"/>
      <c r="G73" s="17">
        <f>VLOOKUP(B73,[1]Brokers!$B$9:$H$69,7,0)</f>
        <v>0</v>
      </c>
      <c r="H73" s="17">
        <f>VLOOKUP(B73,[3]Brokers!$B$9:$W$69,22,0)</f>
        <v>0</v>
      </c>
      <c r="I73" s="40">
        <f>VLOOKUP(B73,[1]Brokers!$B$9:$R$69,17,0)</f>
        <v>0</v>
      </c>
      <c r="J73" s="17">
        <f>VLOOKUP(B73,[1]Brokers!$B$9:$M$69,12,0)</f>
        <v>0</v>
      </c>
      <c r="K73" s="17">
        <v>0</v>
      </c>
      <c r="L73" s="17">
        <v>0</v>
      </c>
      <c r="M73" s="18">
        <f t="shared" si="2"/>
        <v>0</v>
      </c>
      <c r="N73" s="31">
        <f>(VLOOKUP(B73,[2]Sheet1!$B$17:$N$77,13,0))+0</f>
        <v>0</v>
      </c>
      <c r="O73" s="34">
        <f t="shared" si="3"/>
        <v>0</v>
      </c>
      <c r="P73" s="36"/>
      <c r="Q73" s="21"/>
    </row>
    <row r="74" spans="1:17" x14ac:dyDescent="0.25">
      <c r="A74" s="12">
        <v>59</v>
      </c>
      <c r="B74" s="37" t="s">
        <v>134</v>
      </c>
      <c r="C74" s="38" t="s">
        <v>136</v>
      </c>
      <c r="D74" s="15" t="s">
        <v>14</v>
      </c>
      <c r="E74" s="15" t="s">
        <v>14</v>
      </c>
      <c r="F74" s="15" t="s">
        <v>14</v>
      </c>
      <c r="G74" s="17">
        <f>VLOOKUP(B74,[1]Brokers!$B$9:$H$69,7,0)</f>
        <v>0</v>
      </c>
      <c r="H74" s="17">
        <f>VLOOKUP(B74,[3]Brokers!$B$9:$W$69,22,0)</f>
        <v>0</v>
      </c>
      <c r="I74" s="40">
        <f>VLOOKUP(B74,[1]Brokers!$B$9:$R$69,17,0)</f>
        <v>0</v>
      </c>
      <c r="J74" s="17">
        <f>VLOOKUP(B74,[1]Brokers!$B$9:$M$69,12,0)</f>
        <v>0</v>
      </c>
      <c r="K74" s="17">
        <v>0</v>
      </c>
      <c r="L74" s="17">
        <v>0</v>
      </c>
      <c r="M74" s="18">
        <f t="shared" si="2"/>
        <v>0</v>
      </c>
      <c r="N74" s="31">
        <f>(VLOOKUP(B74,[2]Sheet1!$B$17:$N$77,13,0))+0</f>
        <v>0</v>
      </c>
      <c r="O74" s="34">
        <f t="shared" si="3"/>
        <v>0</v>
      </c>
      <c r="P74" s="36"/>
      <c r="Q74" s="21"/>
    </row>
    <row r="75" spans="1:17" ht="16.5" thickBot="1" x14ac:dyDescent="0.3">
      <c r="A75" s="52" t="s">
        <v>6</v>
      </c>
      <c r="B75" s="53"/>
      <c r="C75" s="54"/>
      <c r="D75" s="22">
        <f>COUNTA(D16:D74)</f>
        <v>55</v>
      </c>
      <c r="E75" s="22">
        <f>COUNTA(E16:E74)</f>
        <v>24</v>
      </c>
      <c r="F75" s="22">
        <f>COUNTA(F16:F74)</f>
        <v>14</v>
      </c>
      <c r="G75" s="23">
        <f t="shared" ref="G75:O75" si="4">SUM(G16:G74)</f>
        <v>245475182867.60001</v>
      </c>
      <c r="H75" s="23">
        <f t="shared" si="4"/>
        <v>1782858280</v>
      </c>
      <c r="I75" s="23">
        <f t="shared" si="4"/>
        <v>0</v>
      </c>
      <c r="J75" s="23">
        <f t="shared" si="4"/>
        <v>0</v>
      </c>
      <c r="K75" s="23">
        <f t="shared" si="4"/>
        <v>0</v>
      </c>
      <c r="L75" s="23">
        <f t="shared" si="4"/>
        <v>0</v>
      </c>
      <c r="M75" s="23">
        <f t="shared" si="4"/>
        <v>247258041147.60001</v>
      </c>
      <c r="N75" s="32">
        <f t="shared" si="4"/>
        <v>488272063283.76007</v>
      </c>
      <c r="O75" s="33">
        <f t="shared" si="4"/>
        <v>1.0000000000000002</v>
      </c>
      <c r="P75" s="24"/>
      <c r="Q75" s="21"/>
    </row>
    <row r="76" spans="1:17" x14ac:dyDescent="0.25">
      <c r="L76" s="25"/>
      <c r="M76" s="26"/>
      <c r="O76" s="25"/>
      <c r="P76" s="24"/>
      <c r="Q76" s="21"/>
    </row>
    <row r="77" spans="1:17" ht="27.6" customHeight="1" x14ac:dyDescent="0.25">
      <c r="B77" s="41" t="s">
        <v>124</v>
      </c>
      <c r="C77" s="41"/>
      <c r="D77" s="41"/>
      <c r="E77" s="41"/>
      <c r="F77" s="41"/>
      <c r="H77" s="27"/>
      <c r="I77" s="27"/>
      <c r="L77" s="25"/>
      <c r="M77" s="25"/>
      <c r="P77" s="24"/>
      <c r="Q77" s="21"/>
    </row>
    <row r="78" spans="1:17" ht="27.6" customHeight="1" x14ac:dyDescent="0.25">
      <c r="C78" s="42"/>
      <c r="D78" s="42"/>
      <c r="E78" s="42"/>
      <c r="F78" s="42"/>
      <c r="M78" s="25"/>
      <c r="N78" s="25"/>
      <c r="P78" s="24"/>
      <c r="Q78" s="21"/>
    </row>
    <row r="79" spans="1:17" x14ac:dyDescent="0.25">
      <c r="P79" s="24"/>
      <c r="Q79" s="21"/>
    </row>
    <row r="80" spans="1:17" x14ac:dyDescent="0.25">
      <c r="P80" s="24"/>
      <c r="Q80" s="21"/>
    </row>
  </sheetData>
  <sortState ref="B16:O74">
    <sortCondition descending="1" ref="O74"/>
  </sortState>
  <mergeCells count="16">
    <mergeCell ref="N14:N15"/>
    <mergeCell ref="O14:O15"/>
    <mergeCell ref="A75:C75"/>
    <mergeCell ref="D9:L9"/>
    <mergeCell ref="L11:O11"/>
    <mergeCell ref="A12:A15"/>
    <mergeCell ref="B12:B15"/>
    <mergeCell ref="C12:C15"/>
    <mergeCell ref="D12:F14"/>
    <mergeCell ref="G12:M13"/>
    <mergeCell ref="N12:O13"/>
    <mergeCell ref="B77:F77"/>
    <mergeCell ref="C78:F78"/>
    <mergeCell ref="M14:M15"/>
    <mergeCell ref="G14:I14"/>
    <mergeCell ref="J14:L14"/>
  </mergeCells>
  <pageMargins left="0.7" right="0.7" top="0.75" bottom="0.75" header="0.3" footer="0.3"/>
  <pageSetup paperSize="9" scale="4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sortState ref="A1:O59">
    <sortCondition descending="1" ref="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2019-01-30T06:25:45Z</cp:lastPrinted>
  <dcterms:created xsi:type="dcterms:W3CDTF">2017-06-09T07:51:20Z</dcterms:created>
  <dcterms:modified xsi:type="dcterms:W3CDTF">2019-01-30T06:25:55Z</dcterms:modified>
</cp:coreProperties>
</file>